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1" documentId="8_{DF1F50AD-9520-4DF8-86F6-F4E9371C43CA}" xr6:coauthVersionLast="47" xr6:coauthVersionMax="47" xr10:uidLastSave="{04477D21-BB62-44F9-9F60-064F18562ECA}"/>
  <bookViews>
    <workbookView xWindow="-110" yWindow="-110" windowWidth="19420" windowHeight="11500" xr2:uid="{00000000-000D-0000-FFFF-FFFF00000000}"/>
  </bookViews>
  <sheets>
    <sheet name="Contacts" sheetId="8" r:id="rId1"/>
    <sheet name="Service Points" sheetId="40" r:id="rId2"/>
    <sheet name="Questionnaire" sheetId="10" r:id="rId3"/>
    <sheet name="Guidance Notes" sheetId="30" r:id="rId4"/>
  </sheets>
  <externalReferences>
    <externalReference r:id="rId5"/>
  </externalReferences>
  <definedNames>
    <definedName name="Authority">Contacts!$G$11</definedName>
    <definedName name="Authority_List">#REF!</definedName>
    <definedName name="Club">#REF!</definedName>
    <definedName name="DropDown">#REF!</definedName>
    <definedName name="Email1">Contacts!$E$17</definedName>
    <definedName name="Email2">Contacts!$E$23</definedName>
    <definedName name="FLAS">Contacts!$L$11</definedName>
    <definedName name="Job_Title1">Contacts!$I$15</definedName>
    <definedName name="Job_Title2">Contacts!$I$21</definedName>
    <definedName name="LIBR0001">Questionnaire!$L$15</definedName>
    <definedName name="LIBR0002">Questionnaire!$L$16</definedName>
    <definedName name="LIBR0003">Questionnaire!$L$17</definedName>
    <definedName name="LIBR0004">Questionnaire!$L$18</definedName>
    <definedName name="LIBR0005">Questionnaire!$L$19</definedName>
    <definedName name="LIBR0006">Questionnaire!$L$20</definedName>
    <definedName name="LIBR0007">Questionnaire!$L$21</definedName>
    <definedName name="LIBR0008">Questionnaire!$L$22</definedName>
    <definedName name="LIBR0009">Questionnaire!$L$23</definedName>
    <definedName name="LIBR0010">Questionnaire!$L$24</definedName>
    <definedName name="LIBR0011">Questionnaire!$L$25</definedName>
    <definedName name="LIBR0012">Questionnaire!$L$26</definedName>
    <definedName name="LIBR0014">Questionnaire!$L$29</definedName>
    <definedName name="LIBR0015">Questionnaire!$E$51</definedName>
    <definedName name="LIBR0016">Questionnaire!$L$51</definedName>
    <definedName name="LIBR0017">Questionnaire!$E$54</definedName>
    <definedName name="LIBR0018">Questionnaire!$L$54</definedName>
    <definedName name="LIBR0019">Questionnaire!$L$64</definedName>
    <definedName name="LIBR0020">Questionnaire!$L$65</definedName>
    <definedName name="LIBR0021">Questionnaire!$L$66</definedName>
    <definedName name="LIBR0022">Questionnaire!$L$69</definedName>
    <definedName name="LIBR0023">Questionnaire!$L$75</definedName>
    <definedName name="LIBR0024">Questionnaire!$L$78</definedName>
    <definedName name="LIBR0025">Questionnaire!$L$80</definedName>
    <definedName name="LIBR0026">Questionnaire!$L$81</definedName>
    <definedName name="LIBR0027">Questionnaire!$L$82</definedName>
    <definedName name="LIBR0028">Questionnaire!$L$83</definedName>
    <definedName name="LIBR0029">Questionnaire!$L$84</definedName>
    <definedName name="LIBR0030">Questionnaire!$L$86</definedName>
    <definedName name="LIBR0031">Questionnaire!$L$88</definedName>
    <definedName name="LIBR0032">Questionnaire!$L$93</definedName>
    <definedName name="LIBR0033">Questionnaire!$L$95</definedName>
    <definedName name="LIBR0034">Questionnaire!$L$96</definedName>
    <definedName name="LIBR0035">Questionnaire!$L$97</definedName>
    <definedName name="LIBR0036">Questionnaire!$L$98</definedName>
    <definedName name="LIBR0037">Questionnaire!$L$99</definedName>
    <definedName name="LIBR0038">Questionnaire!$L$101</definedName>
    <definedName name="LIBR0039">Questionnaire!$L$109</definedName>
    <definedName name="LIBR0041">Questionnaire!$L$111</definedName>
    <definedName name="LIBR0042">Questionnaire!$L$112</definedName>
    <definedName name="LIBR0049">Questionnaire!$L$115</definedName>
    <definedName name="LIBR0050">Questionnaire!$L$117</definedName>
    <definedName name="LIBR0051">Questionnaire!$L$119</definedName>
    <definedName name="LIBR0052">Questionnaire!$L$125</definedName>
    <definedName name="LIBR0054">Questionnaire!$L$127</definedName>
    <definedName name="LIBR0055">Questionnaire!$L$128</definedName>
    <definedName name="LIBR0062">Questionnaire!$L$131</definedName>
    <definedName name="LIBR0063">Questionnaire!$L$132</definedName>
    <definedName name="LIBR0064">Questionnaire!$L$152</definedName>
    <definedName name="LIBR0065">Questionnaire!$L$153</definedName>
    <definedName name="LIBR0066">Questionnaire!$L$154</definedName>
    <definedName name="LIBR0067">Questionnaire!$L$162</definedName>
    <definedName name="LIBR0068">Questionnaire!$L$163</definedName>
    <definedName name="LIBR0069">Questionnaire!$L$168</definedName>
    <definedName name="LIBR0070">Questionnaire!$L$169</definedName>
    <definedName name="LIBR0071">Questionnaire!$L$170</definedName>
    <definedName name="LIBR0072">Questionnaire!$L$171</definedName>
    <definedName name="LIBR0073">Questionnaire!$L$172</definedName>
    <definedName name="LIBR0075">Questionnaire!$L$178</definedName>
    <definedName name="LIBR0076">Questionnaire!$L$179</definedName>
    <definedName name="LIBR0083">Questionnaire!$L$182</definedName>
    <definedName name="LIBR0084">Questionnaire!$L$198</definedName>
    <definedName name="LIBR0085">Questionnaire!$L$200</definedName>
    <definedName name="LIBR0086">Questionnaire!$L$203</definedName>
    <definedName name="LIBR0087">Questionnaire!$L$205</definedName>
    <definedName name="LIBR0088">Questionnaire!$L$207</definedName>
    <definedName name="LIBR0089">Questionnaire!$L$213</definedName>
    <definedName name="LIBR0090">Questionnaire!$L$215</definedName>
    <definedName name="LIBR0091">Questionnaire!$L$219</definedName>
    <definedName name="LIBR0092">Questionnaire!$L$224</definedName>
    <definedName name="LIBR0093">Questionnaire!$L$230</definedName>
    <definedName name="LIBR0094">Questionnaire!$L$233</definedName>
    <definedName name="LIBR0095">Questionnaire!$L$239</definedName>
    <definedName name="LIBR0096">Questionnaire!$L$247</definedName>
    <definedName name="LIBR0097">Questionnaire!$L$249</definedName>
    <definedName name="LIBR0098">Questionnaire!$L$252</definedName>
    <definedName name="LIBR0099">Questionnaire!$L$257</definedName>
    <definedName name="LIBR0100">Questionnaire!$L$258</definedName>
    <definedName name="LIBR0101">Questionnaire!$J$265</definedName>
    <definedName name="LIBR0102">Questionnaire!$J$266</definedName>
    <definedName name="LIBR0103">Questionnaire!$J$269</definedName>
    <definedName name="LIBR0104">Questionnaire!$J$270</definedName>
    <definedName name="LIBR0105">Questionnaire!$J$271</definedName>
    <definedName name="LIBR0106">Questionnaire!$J$272</definedName>
    <definedName name="LIBR0107">Questionnaire!$J$273</definedName>
    <definedName name="LIBR0108">Questionnaire!$J$274</definedName>
    <definedName name="LIBR0110">Questionnaire!$J$275</definedName>
    <definedName name="LIBR0111">Questionnaire!$J$276</definedName>
    <definedName name="LIBR0118">Questionnaire!$J$285</definedName>
    <definedName name="LIBR0119">Questionnaire!$J$286</definedName>
    <definedName name="LIBR0120">Questionnaire!$J$288</definedName>
    <definedName name="LIBR0121">Questionnaire!$J$289</definedName>
    <definedName name="LIBR0122">Questionnaire!$J$291</definedName>
    <definedName name="LIBR0123">Questionnaire!$J$292</definedName>
    <definedName name="LIBR0124">Questionnaire!$J$294</definedName>
    <definedName name="LIBR0125">Questionnaire!$J$295</definedName>
    <definedName name="LIBR0126">Questionnaire!$J$296</definedName>
    <definedName name="LIBR0127">Questionnaire!$J$301</definedName>
    <definedName name="LIBR0128">Questionnaire!$J$304</definedName>
    <definedName name="LIBR0129">Questionnaire!$J$305</definedName>
    <definedName name="LIBR0130">Questionnaire!$J$306</definedName>
    <definedName name="LIBR0131">Questionnaire!$J$307</definedName>
    <definedName name="LIBR0132">Questionnaire!$J$308</definedName>
    <definedName name="LIBR0133">Questionnaire!$J$309</definedName>
    <definedName name="LIBR0134">Questionnaire!$J$310</definedName>
    <definedName name="LIBR0135">Questionnaire!$J$311</definedName>
    <definedName name="LIBR0136">Questionnaire!$J$312</definedName>
    <definedName name="LIBR0137">Questionnaire!$J$314</definedName>
    <definedName name="LIBR0138">Questionnaire!$J$316</definedName>
    <definedName name="LIBR0139">Questionnaire!$J$323</definedName>
    <definedName name="LIBR0140">Questionnaire!$L$265</definedName>
    <definedName name="LIBR0141">Questionnaire!$L$266</definedName>
    <definedName name="LIBR0142">Questionnaire!$L$289</definedName>
    <definedName name="LIBR0143">Questionnaire!$L$298</definedName>
    <definedName name="LIBR0144">Questionnaire!$L$301</definedName>
    <definedName name="LIBR0145">Questionnaire!$L$314</definedName>
    <definedName name="LIBR0146">Questionnaire!$L$316</definedName>
    <definedName name="LIBR0147">Questionnaire!$L$323</definedName>
    <definedName name="LIBR0148">Questionnaire!$L$328</definedName>
    <definedName name="LIBR0149">Questionnaire!#REF!</definedName>
    <definedName name="LIBR0150">Questionnaire!$L$329</definedName>
    <definedName name="LIBR0151">Questionnaire!$L$330</definedName>
    <definedName name="LIBR0152">Questionnaire!$L$331</definedName>
    <definedName name="LIBR0153">Questionnaire!$L$332</definedName>
    <definedName name="LIBR0154">Questionnaire!$L$333</definedName>
    <definedName name="LIBR0170">Questionnaire!$D$287</definedName>
    <definedName name="LIBR0171">Questionnaire!$H$332</definedName>
    <definedName name="LIBR0173">Questionnaire!$C$366</definedName>
    <definedName name="LIBR0174">Questionnaire!$C$378</definedName>
    <definedName name="LIBR0175">Questionnaire!$C$384</definedName>
    <definedName name="LIBR0176">Questionnaire!$C$313</definedName>
    <definedName name="LIBR0177">Questionnaire!$C$353</definedName>
    <definedName name="LIBR0179">Questionnaire!$L$27</definedName>
    <definedName name="LIBR0180">Questionnaire!$L$28</definedName>
    <definedName name="LIBR0181">Questionnaire!$H$15</definedName>
    <definedName name="LIBR0182">Questionnaire!$H$16</definedName>
    <definedName name="LIBR0183">Questionnaire!$H$17</definedName>
    <definedName name="LIBR0184">Questionnaire!$H$18</definedName>
    <definedName name="LIBR0185">Questionnaire!$H$19</definedName>
    <definedName name="LIBR0186">Questionnaire!$H$20</definedName>
    <definedName name="LIBR0187">Questionnaire!$H$21</definedName>
    <definedName name="LIBR0188">Questionnaire!$H$22</definedName>
    <definedName name="LIBR0189">Questionnaire!$H$23</definedName>
    <definedName name="LIBR0190">Questionnaire!$H$24</definedName>
    <definedName name="LIBR0191">Questionnaire!$H$25</definedName>
    <definedName name="LIBR0192">Questionnaire!$H$26</definedName>
    <definedName name="LIBR0193">Questionnaire!$H$27</definedName>
    <definedName name="LIBR0194">Questionnaire!$H$28</definedName>
    <definedName name="LIBR0195">Questionnaire!$H$29</definedName>
    <definedName name="LIBR0196">Questionnaire!$J$15</definedName>
    <definedName name="LIBR0197">Questionnaire!$J$16</definedName>
    <definedName name="LIBR0198">Questionnaire!$J$17</definedName>
    <definedName name="LIBR0199">Questionnaire!$J$18</definedName>
    <definedName name="LIBR0200">Questionnaire!$J$19</definedName>
    <definedName name="LIBR0201">Questionnaire!$J$20</definedName>
    <definedName name="LIBR0202">Questionnaire!$J$21</definedName>
    <definedName name="LIBR0203">Questionnaire!$J$22</definedName>
    <definedName name="LIBR0204">Questionnaire!$J$23</definedName>
    <definedName name="LIBR0205">Questionnaire!$J$24</definedName>
    <definedName name="LIBR0206">Questionnaire!$J$25</definedName>
    <definedName name="LIBR0207">Questionnaire!$J$26</definedName>
    <definedName name="LIBR0208">Questionnaire!$J$27</definedName>
    <definedName name="LIBR0209">Questionnaire!$J$28</definedName>
    <definedName name="LIBR0210">Questionnaire!$J$29</definedName>
    <definedName name="LIBR0211">Questionnaire!$L$40</definedName>
    <definedName name="LIBR0212">Questionnaire!$L$41</definedName>
    <definedName name="LIBR0213">Questionnaire!$C$45</definedName>
    <definedName name="LIBR0214">Questionnaire!$C$48</definedName>
    <definedName name="LIBR0215">Questionnaire!$L$141</definedName>
    <definedName name="LIBR0216">Questionnaire!$L$142</definedName>
    <definedName name="LIBR0217">Questionnaire!$L$143</definedName>
    <definedName name="LIBR0221">Questionnaire!$L$188</definedName>
    <definedName name="LIBR0222">Questionnaire!$L$189</definedName>
    <definedName name="LIBR0223">Questionnaire!$L$190</definedName>
    <definedName name="LIBR0224">Questionnaire!$J$279</definedName>
    <definedName name="LIBR0225">Questionnaire!$J$280</definedName>
    <definedName name="LIBR0226">Questionnaire!$J$281</definedName>
    <definedName name="LIBR0227">Questionnaire!$C$57</definedName>
    <definedName name="LIBR0228">Questionnaire!$L$113</definedName>
    <definedName name="LIBR0229">Questionnaire!$L$144</definedName>
    <definedName name="LIBR0230">Questionnaire!$L$146</definedName>
    <definedName name="LIBR0231">Questionnaire!$L$129</definedName>
    <definedName name="LIBR0234">Questionnaire!$L$180</definedName>
    <definedName name="LIBR0235">Questionnaire!$L$191</definedName>
    <definedName name="LIBR0236">Questionnaire!$L$193</definedName>
    <definedName name="LIBR0237">Questionnaire!$J$277</definedName>
    <definedName name="LIBR0238">Questionnaire!$J$282</definedName>
    <definedName name="LIBR0239">Questionnaire!$J$284</definedName>
    <definedName name="LIBR0240">Questionnaire!$L$70</definedName>
    <definedName name="LIBR0241">Questionnaire!$L$145</definedName>
    <definedName name="LIBR0242">Questionnaire!$L$192</definedName>
    <definedName name="LIBR0243">Questionnaire!$J$283</definedName>
    <definedName name="LIBR0244">Questionnaire!$L$34</definedName>
    <definedName name="LIBR0245">Questionnaire!$L$35</definedName>
    <definedName name="LIBR0246">Questionnaire!$L$340</definedName>
    <definedName name="LIBR0247">Questionnaire!#REF!</definedName>
    <definedName name="LIBR0248">Questionnaire!$L$341</definedName>
    <definedName name="LIBR0249">Questionnaire!$L$342</definedName>
    <definedName name="LIBR0250">Questionnaire!$L$343</definedName>
    <definedName name="LIBR0251">Questionnaire!$L$344</definedName>
    <definedName name="LIBR0252">Questionnaire!$L$345</definedName>
    <definedName name="LIBR0253">Questionnaire!$L$346</definedName>
    <definedName name="LIBR0254">Questionnaire!$L$347</definedName>
    <definedName name="LIBR0255">Questionnaire!$L$348</definedName>
    <definedName name="LIBR0256">Questionnaire!$L$349</definedName>
    <definedName name="LIBR0257">Questionnaire!$L$350</definedName>
    <definedName name="LibraryType">#REF!</definedName>
    <definedName name="LY_Data">#REF!</definedName>
    <definedName name="LY_ServicePoints">#REF!</definedName>
    <definedName name="Name1">Contacts!$E$15</definedName>
    <definedName name="Name2">Contacts!$E$21</definedName>
    <definedName name="Note1">'Guidance Notes'!$A$34:$A$116</definedName>
    <definedName name="Note10">'Guidance Notes'!$A$290:$A$360</definedName>
    <definedName name="Note11">'Guidance Notes'!$A$362:$A$367</definedName>
    <definedName name="Note12">'Guidance Notes'!$A$369:$A$491</definedName>
    <definedName name="Note13">'Guidance Notes'!$A$493:$A$510</definedName>
    <definedName name="Note14">'Guidance Notes'!$A$512:$A$524</definedName>
    <definedName name="Note2">'Guidance Notes'!$A$119:$A$143</definedName>
    <definedName name="Note3">'Guidance Notes'!$A$145:$A$185</definedName>
    <definedName name="Note4">'Guidance Notes'!$A$186:$A$198</definedName>
    <definedName name="Note5">'Guidance Notes'!$A$200:$A$213</definedName>
    <definedName name="Note6">'Guidance Notes'!$A$215:$A$223</definedName>
    <definedName name="Note7">'Guidance Notes'!$A$226:$A$248</definedName>
    <definedName name="Note8">'Guidance Notes'!$A$253:$A$274</definedName>
    <definedName name="Note9">'Guidance Notes'!$A$276:$A$287</definedName>
    <definedName name="Other_Email">Contacts!$C$29</definedName>
    <definedName name="_xlnm.Print_Area" localSheetId="0">Contacts!$A$1:$O$62</definedName>
    <definedName name="_xlnm.Print_Area" localSheetId="3">'Guidance Notes'!$A$1:$Q$534</definedName>
    <definedName name="_xlnm.Print_Area" localSheetId="2">Questionnaire!$A$1:$O$392</definedName>
    <definedName name="_xlnm.Print_Area" localSheetId="1">'Service Points'!$A$1:$K$176</definedName>
    <definedName name="_xlnm.Print_Titles" localSheetId="1">'Service Points'!$1:$30</definedName>
    <definedName name="Qdata">#REF!</definedName>
    <definedName name="Qservicepoints">#REF!</definedName>
    <definedName name="Qshortname">#REF!</definedName>
    <definedName name="service_names">OFFSET('Service Points'!$D$31,0,0,MAX(1,SUM('Service Points'!$B$31:$B$170)),1)</definedName>
    <definedName name="Statutory">#REF!</definedName>
    <definedName name="Telephone1">Contacts!$L$15</definedName>
    <definedName name="Telephone2">Contacts!$L$21</definedName>
    <definedName name="Year">#REF!</definedName>
    <definedName name="Year_tmp">[1]Data!$B$2</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3" i="10" l="1"/>
  <c r="G156" i="10"/>
  <c r="D134" i="10"/>
  <c r="D121" i="10"/>
  <c r="F103" i="10"/>
  <c r="E32" i="10"/>
  <c r="F31" i="10"/>
  <c r="C48" i="8"/>
  <c r="B8" i="40"/>
  <c r="C33" i="8"/>
  <c r="F174" i="10"/>
  <c r="F226" i="10"/>
  <c r="L327" i="10"/>
  <c r="E318" i="10"/>
  <c r="D268" i="10"/>
  <c r="L263" i="10"/>
  <c r="J263" i="10"/>
  <c r="C252" i="10"/>
  <c r="B235" i="10"/>
  <c r="C230" i="10"/>
  <c r="C224" i="10"/>
  <c r="B184" i="10"/>
  <c r="C163" i="10"/>
  <c r="C162" i="10"/>
  <c r="C151" i="10"/>
  <c r="C140" i="10"/>
  <c r="C124" i="10"/>
  <c r="C119" i="10"/>
  <c r="C108" i="10"/>
  <c r="C101" i="10"/>
  <c r="C88" i="10"/>
  <c r="C77" i="10"/>
  <c r="C75" i="10"/>
  <c r="C70" i="10"/>
  <c r="C69" i="10"/>
  <c r="C66" i="10"/>
  <c r="C65" i="10"/>
  <c r="C64" i="10"/>
  <c r="C53" i="10"/>
  <c r="C50" i="10"/>
  <c r="C41" i="10"/>
  <c r="C40" i="10"/>
  <c r="B7" i="10"/>
  <c r="B59" i="8"/>
  <c r="B531" i="30" s="1"/>
  <c r="D499" i="30"/>
  <c r="D496" i="30"/>
  <c r="D495" i="30"/>
  <c r="D369" i="30"/>
  <c r="D293" i="30"/>
  <c r="D108" i="30"/>
  <c r="D96" i="30"/>
  <c r="D77" i="30"/>
  <c r="D73" i="30"/>
  <c r="D70" i="30"/>
  <c r="C7" i="8"/>
  <c r="B6" i="40" s="1"/>
  <c r="B148" i="10"/>
  <c r="J289" i="10"/>
  <c r="J301" i="10" s="1"/>
  <c r="J314" i="10"/>
  <c r="L301" i="10"/>
  <c r="L316" i="10" s="1"/>
  <c r="L182" i="10"/>
  <c r="C185" i="10" s="1"/>
  <c r="L172" i="10"/>
  <c r="C175" i="10" s="1"/>
  <c r="L154" i="10"/>
  <c r="C157" i="10" s="1"/>
  <c r="B16" i="10"/>
  <c r="B17" i="10" s="1"/>
  <c r="B18" i="10" s="1"/>
  <c r="B19" i="10" s="1"/>
  <c r="B20" i="10" s="1"/>
  <c r="B21" i="10" s="1"/>
  <c r="B22" i="10" s="1"/>
  <c r="B23" i="10" s="1"/>
  <c r="B24" i="10" s="1"/>
  <c r="B25" i="10" s="1"/>
  <c r="B26" i="10" s="1"/>
  <c r="B27" i="10" s="1"/>
  <c r="B28" i="10" s="1"/>
  <c r="B29" i="10" s="1"/>
  <c r="B533" i="30"/>
  <c r="B532" i="30"/>
  <c r="B391" i="10"/>
  <c r="B390" i="10"/>
  <c r="B175" i="40"/>
  <c r="B174" i="40"/>
  <c r="L11" i="8"/>
  <c r="C32" i="40"/>
  <c r="C33" i="40" s="1"/>
  <c r="C34" i="40" s="1"/>
  <c r="C35" i="40" s="1"/>
  <c r="C36" i="40" s="1"/>
  <c r="C37" i="40" s="1"/>
  <c r="C38" i="40" s="1"/>
  <c r="C39" i="40" s="1"/>
  <c r="C40" i="40" s="1"/>
  <c r="C41" i="40" s="1"/>
  <c r="C42" i="40" s="1"/>
  <c r="C43" i="40" s="1"/>
  <c r="C44" i="40" s="1"/>
  <c r="C45" i="40" s="1"/>
  <c r="C46" i="40" s="1"/>
  <c r="C47" i="40" s="1"/>
  <c r="C48" i="40" s="1"/>
  <c r="C49" i="40" s="1"/>
  <c r="C50" i="40" s="1"/>
  <c r="C51" i="40" s="1"/>
  <c r="C52" i="40" s="1"/>
  <c r="C53" i="40" s="1"/>
  <c r="C54" i="40" s="1"/>
  <c r="C55" i="40" s="1"/>
  <c r="C56" i="40" s="1"/>
  <c r="C57" i="40" s="1"/>
  <c r="C58" i="40" s="1"/>
  <c r="C59" i="40" s="1"/>
  <c r="C60" i="40" s="1"/>
  <c r="C61" i="40" s="1"/>
  <c r="C62" i="40" s="1"/>
  <c r="C63" i="40" s="1"/>
  <c r="C64" i="40" s="1"/>
  <c r="C65" i="40" s="1"/>
  <c r="C66" i="40" s="1"/>
  <c r="C67" i="40" s="1"/>
  <c r="C68" i="40" s="1"/>
  <c r="C69" i="40" s="1"/>
  <c r="C70" i="40" s="1"/>
  <c r="C71" i="40" s="1"/>
  <c r="C72" i="40" s="1"/>
  <c r="C73" i="40" s="1"/>
  <c r="C74" i="40" s="1"/>
  <c r="C75" i="40" s="1"/>
  <c r="C76" i="40" s="1"/>
  <c r="C77" i="40" s="1"/>
  <c r="C78" i="40" s="1"/>
  <c r="C79" i="40" s="1"/>
  <c r="C80" i="40" s="1"/>
  <c r="C81" i="40" s="1"/>
  <c r="C82" i="40" s="1"/>
  <c r="C83" i="40" s="1"/>
  <c r="C84" i="40" s="1"/>
  <c r="C85" i="40" s="1"/>
  <c r="C86" i="40" s="1"/>
  <c r="C87" i="40" s="1"/>
  <c r="C88" i="40" s="1"/>
  <c r="C89" i="40" s="1"/>
  <c r="C90" i="40" s="1"/>
  <c r="C91" i="40" s="1"/>
  <c r="C92" i="40" s="1"/>
  <c r="C93" i="40" s="1"/>
  <c r="C94" i="40" s="1"/>
  <c r="C95" i="40" s="1"/>
  <c r="C96" i="40" s="1"/>
  <c r="C97" i="40" s="1"/>
  <c r="C98" i="40" s="1"/>
  <c r="C99" i="40" s="1"/>
  <c r="C100" i="40" s="1"/>
  <c r="C101" i="40" s="1"/>
  <c r="C102" i="40" s="1"/>
  <c r="C103" i="40" s="1"/>
  <c r="C104" i="40" s="1"/>
  <c r="C105" i="40" s="1"/>
  <c r="C106" i="40" s="1"/>
  <c r="C107" i="40" s="1"/>
  <c r="C108" i="40" s="1"/>
  <c r="C109" i="40" s="1"/>
  <c r="C110" i="40" s="1"/>
  <c r="C111" i="40" s="1"/>
  <c r="C112" i="40" s="1"/>
  <c r="C113" i="40" s="1"/>
  <c r="C114" i="40" s="1"/>
  <c r="C115" i="40" s="1"/>
  <c r="C116" i="40" s="1"/>
  <c r="C117" i="40" s="1"/>
  <c r="C118" i="40" s="1"/>
  <c r="C119" i="40" s="1"/>
  <c r="C120" i="40" s="1"/>
  <c r="C121" i="40" s="1"/>
  <c r="C122" i="40" s="1"/>
  <c r="C123" i="40" s="1"/>
  <c r="C124" i="40" s="1"/>
  <c r="C125" i="40" s="1"/>
  <c r="C126" i="40" s="1"/>
  <c r="C127" i="40" s="1"/>
  <c r="C128" i="40" s="1"/>
  <c r="C129" i="40" s="1"/>
  <c r="C130" i="40" s="1"/>
  <c r="C131" i="40" s="1"/>
  <c r="C132" i="40" s="1"/>
  <c r="C133" i="40" s="1"/>
  <c r="C134" i="40" s="1"/>
  <c r="C135" i="40" s="1"/>
  <c r="C136" i="40" s="1"/>
  <c r="C137" i="40" s="1"/>
  <c r="C138" i="40" s="1"/>
  <c r="C139" i="40" s="1"/>
  <c r="C140" i="40" s="1"/>
  <c r="C141" i="40" s="1"/>
  <c r="C142" i="40" s="1"/>
  <c r="C143" i="40" s="1"/>
  <c r="C144" i="40" s="1"/>
  <c r="C145" i="40" s="1"/>
  <c r="C146" i="40" s="1"/>
  <c r="C147" i="40" s="1"/>
  <c r="C148" i="40" s="1"/>
  <c r="C149" i="40" s="1"/>
  <c r="C150" i="40" s="1"/>
  <c r="C151" i="40" s="1"/>
  <c r="C152" i="40" s="1"/>
  <c r="C153" i="40" s="1"/>
  <c r="C154" i="40" s="1"/>
  <c r="C155" i="40" s="1"/>
  <c r="C156" i="40" s="1"/>
  <c r="C157" i="40" s="1"/>
  <c r="C158" i="40" s="1"/>
  <c r="C159" i="40" s="1"/>
  <c r="C160" i="40" s="1"/>
  <c r="C161" i="40" s="1"/>
  <c r="C162" i="40" s="1"/>
  <c r="C163" i="40" s="1"/>
  <c r="C164" i="40" s="1"/>
  <c r="C165" i="40" s="1"/>
  <c r="C166" i="40" s="1"/>
  <c r="C167" i="40" s="1"/>
  <c r="C168" i="40" s="1"/>
  <c r="C169" i="40" s="1"/>
  <c r="C170" i="40" s="1"/>
  <c r="I16" i="10"/>
  <c r="I17" i="10" s="1"/>
  <c r="I18" i="10" s="1"/>
  <c r="I19" i="10" s="1"/>
  <c r="I20" i="10" s="1"/>
  <c r="I21" i="10" s="1"/>
  <c r="I22" i="10" s="1"/>
  <c r="I23" i="10" s="1"/>
  <c r="I24" i="10" s="1"/>
  <c r="I25" i="10" s="1"/>
  <c r="I26" i="10" s="1"/>
  <c r="I27" i="10" s="1"/>
  <c r="I28" i="10" s="1"/>
  <c r="I29" i="10" s="1"/>
  <c r="K15" i="10" s="1"/>
  <c r="K16" i="10" s="1"/>
  <c r="K17" i="10" s="1"/>
  <c r="K18" i="10" s="1"/>
  <c r="K19" i="10" s="1"/>
  <c r="K20" i="10" s="1"/>
  <c r="K21" i="10" s="1"/>
  <c r="K22" i="10" s="1"/>
  <c r="K23" i="10" s="1"/>
  <c r="K24" i="10" s="1"/>
  <c r="K25" i="10" s="1"/>
  <c r="K26" i="10" s="1"/>
  <c r="K27" i="10" s="1"/>
  <c r="K28" i="10" s="1"/>
  <c r="K29" i="10" s="1"/>
  <c r="M15" i="10" s="1"/>
  <c r="M16" i="10" s="1"/>
  <c r="M17" i="10" s="1"/>
  <c r="M18" i="10" s="1"/>
  <c r="M19" i="10" s="1"/>
  <c r="M20" i="10" s="1"/>
  <c r="M21" i="10" s="1"/>
  <c r="M22" i="10" s="1"/>
  <c r="M23" i="10" s="1"/>
  <c r="M24" i="10" s="1"/>
  <c r="M25" i="10" s="1"/>
  <c r="M26" i="10" s="1"/>
  <c r="M27" i="10" s="1"/>
  <c r="M28" i="10" s="1"/>
  <c r="M29" i="10" s="1"/>
  <c r="M34" i="10" s="1"/>
  <c r="M35" i="10" s="1"/>
  <c r="M40" i="10" s="1"/>
  <c r="M41" i="10" s="1"/>
  <c r="H51" i="10" s="1"/>
  <c r="M51" i="10" s="1"/>
  <c r="H54" i="10" s="1"/>
  <c r="M54" i="10" s="1"/>
  <c r="M64" i="10" s="1"/>
  <c r="M65" i="10" s="1"/>
  <c r="M66" i="10" s="1"/>
  <c r="M69" i="10" s="1"/>
  <c r="M70" i="10" s="1"/>
  <c r="M75" i="10" s="1"/>
  <c r="M78" i="10" s="1"/>
  <c r="M80" i="10" s="1"/>
  <c r="M81" i="10" s="1"/>
  <c r="M82" i="10" s="1"/>
  <c r="M83" i="10" s="1"/>
  <c r="M84" i="10" s="1"/>
  <c r="M86" i="10" s="1"/>
  <c r="M88" i="10" s="1"/>
  <c r="M93" i="10" s="1"/>
  <c r="M95" i="10" s="1"/>
  <c r="M96" i="10" s="1"/>
  <c r="M97" i="10" s="1"/>
  <c r="M98" i="10" s="1"/>
  <c r="M99" i="10" s="1"/>
  <c r="M101" i="10" s="1"/>
  <c r="M109" i="10" s="1"/>
  <c r="M111" i="10" s="1"/>
  <c r="M112" i="10" s="1"/>
  <c r="M113" i="10" s="1"/>
  <c r="M115" i="10" s="1"/>
  <c r="M117" i="10" s="1"/>
  <c r="M119" i="10" s="1"/>
  <c r="M125" i="10" s="1"/>
  <c r="M127" i="10" s="1"/>
  <c r="M128" i="10" s="1"/>
  <c r="M129" i="10" s="1"/>
  <c r="M131" i="10" s="1"/>
  <c r="M132" i="10" s="1"/>
  <c r="M141" i="10" s="1"/>
  <c r="M142" i="10" s="1"/>
  <c r="M143" i="10" s="1"/>
  <c r="M144" i="10" s="1"/>
  <c r="M145" i="10" s="1"/>
  <c r="M146" i="10" s="1"/>
  <c r="M152" i="10" s="1"/>
  <c r="M153" i="10" s="1"/>
  <c r="M154" i="10" s="1"/>
  <c r="M162" i="10" s="1"/>
  <c r="M163" i="10" s="1"/>
  <c r="M168" i="10" s="1"/>
  <c r="M169" i="10" s="1"/>
  <c r="M170" i="10" s="1"/>
  <c r="M171" i="10" s="1"/>
  <c r="M172" i="10" s="1"/>
  <c r="M178" i="10" s="1"/>
  <c r="M179" i="10" s="1"/>
  <c r="M180" i="10" s="1"/>
  <c r="M182" i="10" s="1"/>
  <c r="M188" i="10" s="1"/>
  <c r="M189" i="10" s="1"/>
  <c r="M190" i="10" s="1"/>
  <c r="M191" i="10" s="1"/>
  <c r="M192" i="10" s="1"/>
  <c r="M193" i="10" s="1"/>
  <c r="M198" i="10" s="1"/>
  <c r="M200" i="10" s="1"/>
  <c r="M203" i="10" s="1"/>
  <c r="C136" i="10"/>
  <c r="C89" i="10"/>
  <c r="C104" i="10"/>
  <c r="K60" i="40"/>
  <c r="C122" i="10"/>
  <c r="C34" i="30" l="1"/>
  <c r="B34" i="10"/>
  <c r="B35" i="10" s="1"/>
  <c r="B40" i="10" s="1"/>
  <c r="C54" i="30"/>
  <c r="M205" i="10"/>
  <c r="D206" i="10"/>
  <c r="A156" i="40"/>
  <c r="B156" i="40" s="1"/>
  <c r="E156" i="40" s="1"/>
  <c r="C5" i="10"/>
  <c r="B389" i="10"/>
  <c r="A155" i="40"/>
  <c r="A73" i="40"/>
  <c r="A170" i="40"/>
  <c r="A31" i="40"/>
  <c r="B31" i="40" s="1"/>
  <c r="J31" i="40" s="1"/>
  <c r="A44" i="40"/>
  <c r="A46" i="40"/>
  <c r="A65" i="40"/>
  <c r="B65" i="40" s="1"/>
  <c r="D65" i="40" s="1"/>
  <c r="A83" i="40"/>
  <c r="B83" i="40" s="1"/>
  <c r="A102" i="40"/>
  <c r="B102" i="40" s="1"/>
  <c r="G102" i="40" s="1"/>
  <c r="A105" i="40"/>
  <c r="A109" i="40"/>
  <c r="A124" i="40"/>
  <c r="B124" i="40" s="1"/>
  <c r="A135" i="40"/>
  <c r="B135" i="40" s="1"/>
  <c r="D135" i="40" s="1"/>
  <c r="A138" i="40"/>
  <c r="B138" i="40" s="1"/>
  <c r="A149" i="40"/>
  <c r="A166" i="40"/>
  <c r="A34" i="40"/>
  <c r="A42" i="40"/>
  <c r="A56" i="40"/>
  <c r="A60" i="40"/>
  <c r="A87" i="40"/>
  <c r="A92" i="40"/>
  <c r="B92" i="40" s="1"/>
  <c r="A39" i="40"/>
  <c r="A45" i="40"/>
  <c r="B45" i="40" s="1"/>
  <c r="A59" i="40"/>
  <c r="A63" i="40"/>
  <c r="A68" i="40"/>
  <c r="A117" i="40"/>
  <c r="A126" i="40"/>
  <c r="A148" i="40"/>
  <c r="A162" i="40"/>
  <c r="A35" i="40"/>
  <c r="A37" i="40"/>
  <c r="B37" i="40" s="1"/>
  <c r="A43" i="40"/>
  <c r="A49" i="40"/>
  <c r="B49" i="40" s="1"/>
  <c r="J49" i="40" s="1"/>
  <c r="A75" i="40"/>
  <c r="A91" i="40"/>
  <c r="A61" i="40"/>
  <c r="A79" i="40"/>
  <c r="B79" i="40" s="1"/>
  <c r="A81" i="40"/>
  <c r="A85" i="40"/>
  <c r="A104" i="40"/>
  <c r="A106" i="40"/>
  <c r="A114" i="40"/>
  <c r="B114" i="40" s="1"/>
  <c r="A128" i="40"/>
  <c r="A146" i="40"/>
  <c r="A58" i="40"/>
  <c r="A71" i="40"/>
  <c r="A121" i="40"/>
  <c r="A132" i="40"/>
  <c r="A152" i="40"/>
  <c r="A164" i="40"/>
  <c r="A47" i="40"/>
  <c r="A53" i="40"/>
  <c r="A89" i="40"/>
  <c r="A94" i="40"/>
  <c r="A101" i="40"/>
  <c r="B101" i="40" s="1"/>
  <c r="A119" i="40"/>
  <c r="A133" i="40"/>
  <c r="A136" i="40"/>
  <c r="A54" i="40"/>
  <c r="A74" i="40"/>
  <c r="A86" i="40"/>
  <c r="A110" i="40"/>
  <c r="A116" i="40"/>
  <c r="A118" i="40"/>
  <c r="A125" i="40"/>
  <c r="A131" i="40"/>
  <c r="A57" i="40"/>
  <c r="B57" i="40" s="1"/>
  <c r="A93" i="40"/>
  <c r="A99" i="40"/>
  <c r="B99" i="40" s="1"/>
  <c r="A112" i="40"/>
  <c r="A139" i="40"/>
  <c r="B139" i="40" s="1"/>
  <c r="E139" i="40" s="1"/>
  <c r="A51" i="40"/>
  <c r="A72" i="40"/>
  <c r="A98" i="40"/>
  <c r="B98" i="40" s="1"/>
  <c r="A76" i="40"/>
  <c r="B76" i="40" s="1"/>
  <c r="A100" i="40"/>
  <c r="A113" i="40"/>
  <c r="A123" i="40"/>
  <c r="B123" i="40" s="1"/>
  <c r="A130" i="40"/>
  <c r="A107" i="40"/>
  <c r="A157" i="40"/>
  <c r="L235" i="10"/>
  <c r="C236" i="10" s="1"/>
  <c r="A66" i="40"/>
  <c r="A88" i="40"/>
  <c r="A90" i="40"/>
  <c r="A161" i="40"/>
  <c r="A143" i="40"/>
  <c r="A154" i="40"/>
  <c r="B154" i="40" s="1"/>
  <c r="A144" i="40"/>
  <c r="A38" i="40"/>
  <c r="A40" i="40"/>
  <c r="A96" i="40"/>
  <c r="A158" i="40"/>
  <c r="A151" i="40"/>
  <c r="A77" i="40"/>
  <c r="B77" i="40" s="1"/>
  <c r="A103" i="40"/>
  <c r="A122" i="40"/>
  <c r="B122" i="40" s="1"/>
  <c r="G122" i="40" s="1"/>
  <c r="A145" i="40"/>
  <c r="A36" i="40"/>
  <c r="B36" i="40" s="1"/>
  <c r="A48" i="40"/>
  <c r="A95" i="40"/>
  <c r="A97" i="40"/>
  <c r="A111" i="40"/>
  <c r="A120" i="40"/>
  <c r="A129" i="40"/>
  <c r="A163" i="40"/>
  <c r="A159" i="40"/>
  <c r="A82" i="40"/>
  <c r="A115" i="40"/>
  <c r="A134" i="40"/>
  <c r="B134" i="40" s="1"/>
  <c r="A147" i="40"/>
  <c r="A160" i="40"/>
  <c r="A69" i="40"/>
  <c r="A78" i="40"/>
  <c r="A80" i="40"/>
  <c r="A140" i="40"/>
  <c r="A153" i="40"/>
  <c r="A165" i="40"/>
  <c r="A169" i="40"/>
  <c r="A52" i="40"/>
  <c r="B52" i="40" s="1"/>
  <c r="A62" i="40"/>
  <c r="A64" i="40"/>
  <c r="A67" i="40"/>
  <c r="A70" i="40"/>
  <c r="B70" i="40" s="1"/>
  <c r="A137" i="40"/>
  <c r="A150" i="40"/>
  <c r="B150" i="40" s="1"/>
  <c r="E150" i="40" s="1"/>
  <c r="A41" i="40"/>
  <c r="B41" i="40" s="1"/>
  <c r="A84" i="40"/>
  <c r="A127" i="40"/>
  <c r="A50" i="40"/>
  <c r="A168" i="40"/>
  <c r="A167" i="40"/>
  <c r="A142" i="40"/>
  <c r="A141" i="40"/>
  <c r="B141" i="40" s="1"/>
  <c r="L226" i="10"/>
  <c r="C227" i="10" s="1"/>
  <c r="A55" i="40"/>
  <c r="A108" i="40"/>
  <c r="B173" i="40"/>
  <c r="A33" i="40"/>
  <c r="C7" i="30"/>
  <c r="L31" i="10"/>
  <c r="L32" i="10" s="1"/>
  <c r="J318" i="10"/>
  <c r="A32" i="40"/>
  <c r="C335" i="10"/>
  <c r="J316" i="10"/>
  <c r="C73" i="30" l="1"/>
  <c r="B41" i="10"/>
  <c r="C70" i="30" s="1"/>
  <c r="G156" i="40"/>
  <c r="F156" i="40"/>
  <c r="I156" i="40"/>
  <c r="J156" i="40"/>
  <c r="D156" i="40"/>
  <c r="M207" i="10"/>
  <c r="M213" i="10" s="1"/>
  <c r="M215" i="10" s="1"/>
  <c r="M219" i="10" s="1"/>
  <c r="M224" i="10" s="1"/>
  <c r="M230" i="10" s="1"/>
  <c r="M233" i="10" s="1"/>
  <c r="M239" i="10" s="1"/>
  <c r="M247" i="10" s="1"/>
  <c r="M249" i="10" s="1"/>
  <c r="M252" i="10" s="1"/>
  <c r="M257" i="10" s="1"/>
  <c r="M258" i="10" s="1"/>
  <c r="K265" i="10" s="1"/>
  <c r="K266" i="10" s="1"/>
  <c r="K269" i="10" s="1"/>
  <c r="K270" i="10" s="1"/>
  <c r="K271" i="10" s="1"/>
  <c r="K272" i="10" s="1"/>
  <c r="K273" i="10" s="1"/>
  <c r="K274" i="10" s="1"/>
  <c r="K275" i="10" s="1"/>
  <c r="K276" i="10" s="1"/>
  <c r="K277" i="10" s="1"/>
  <c r="K279" i="10" s="1"/>
  <c r="K280" i="10" s="1"/>
  <c r="K281" i="10" s="1"/>
  <c r="K282" i="10" s="1"/>
  <c r="K283" i="10" s="1"/>
  <c r="K284" i="10" s="1"/>
  <c r="K285" i="10" s="1"/>
  <c r="K286" i="10" s="1"/>
  <c r="K288" i="10" s="1"/>
  <c r="K289" i="10" s="1"/>
  <c r="K291" i="10" s="1"/>
  <c r="K292" i="10" s="1"/>
  <c r="K294" i="10" s="1"/>
  <c r="K295" i="10" s="1"/>
  <c r="K296" i="10" s="1"/>
  <c r="K301" i="10" s="1"/>
  <c r="K304" i="10" s="1"/>
  <c r="K305" i="10" s="1"/>
  <c r="K306" i="10" s="1"/>
  <c r="K307" i="10" s="1"/>
  <c r="K308" i="10" s="1"/>
  <c r="K309" i="10" s="1"/>
  <c r="K310" i="10" s="1"/>
  <c r="K311" i="10" s="1"/>
  <c r="K312" i="10" s="1"/>
  <c r="K314" i="10" s="1"/>
  <c r="K316" i="10" s="1"/>
  <c r="K323" i="10" s="1"/>
  <c r="M265" i="10" s="1"/>
  <c r="M266" i="10" s="1"/>
  <c r="M289" i="10" s="1"/>
  <c r="M298" i="10" s="1"/>
  <c r="M301" i="10" s="1"/>
  <c r="M314" i="10" s="1"/>
  <c r="M316" i="10" s="1"/>
  <c r="M323" i="10" s="1"/>
  <c r="M328" i="10" s="1"/>
  <c r="M329" i="10" s="1"/>
  <c r="M330" i="10" s="1"/>
  <c r="M331" i="10" s="1"/>
  <c r="M332" i="10" s="1"/>
  <c r="M333" i="10" s="1"/>
  <c r="M340" i="10" s="1"/>
  <c r="M341" i="10" s="1"/>
  <c r="M342" i="10" s="1"/>
  <c r="M343" i="10" s="1"/>
  <c r="M344" i="10" s="1"/>
  <c r="M345" i="10" s="1"/>
  <c r="M346" i="10" s="1"/>
  <c r="M347" i="10" s="1"/>
  <c r="M348" i="10" s="1"/>
  <c r="M349" i="10" s="1"/>
  <c r="M350" i="10" s="1"/>
  <c r="D208" i="10"/>
  <c r="B148" i="40"/>
  <c r="I148" i="40" s="1"/>
  <c r="I31" i="40"/>
  <c r="E31" i="40"/>
  <c r="F31" i="40"/>
  <c r="B143" i="40"/>
  <c r="D143" i="40" s="1"/>
  <c r="G31" i="40"/>
  <c r="D31" i="40"/>
  <c r="B94" i="40"/>
  <c r="F94" i="40" s="1"/>
  <c r="B117" i="40"/>
  <c r="G117" i="40" s="1"/>
  <c r="E135" i="40"/>
  <c r="B56" i="40"/>
  <c r="J56" i="40" s="1"/>
  <c r="B91" i="40"/>
  <c r="D91" i="40" s="1"/>
  <c r="I102" i="40"/>
  <c r="B162" i="40"/>
  <c r="G162" i="40" s="1"/>
  <c r="G139" i="40"/>
  <c r="E49" i="40"/>
  <c r="J150" i="40"/>
  <c r="B146" i="40"/>
  <c r="D146" i="40" s="1"/>
  <c r="D49" i="40"/>
  <c r="G150" i="40"/>
  <c r="F150" i="40"/>
  <c r="B59" i="40"/>
  <c r="J59" i="40" s="1"/>
  <c r="B35" i="40"/>
  <c r="J35" i="40" s="1"/>
  <c r="F65" i="40"/>
  <c r="B147" i="40"/>
  <c r="G147" i="40" s="1"/>
  <c r="B66" i="40"/>
  <c r="I66" i="40" s="1"/>
  <c r="D122" i="40"/>
  <c r="E102" i="40"/>
  <c r="B39" i="40"/>
  <c r="E39" i="40" s="1"/>
  <c r="J135" i="40"/>
  <c r="B100" i="40"/>
  <c r="G100" i="40" s="1"/>
  <c r="B159" i="40"/>
  <c r="F159" i="40" s="1"/>
  <c r="B158" i="40"/>
  <c r="B130" i="40"/>
  <c r="G130" i="40" s="1"/>
  <c r="B47" i="40"/>
  <c r="B167" i="40"/>
  <c r="B120" i="40"/>
  <c r="B38" i="40"/>
  <c r="B110" i="40"/>
  <c r="B55" i="40"/>
  <c r="B64" i="40"/>
  <c r="B82" i="40"/>
  <c r="D82" i="40" s="1"/>
  <c r="B151" i="40"/>
  <c r="B107" i="40"/>
  <c r="B131" i="40"/>
  <c r="I131" i="40" s="1"/>
  <c r="B53" i="40"/>
  <c r="B81" i="40"/>
  <c r="B63" i="40"/>
  <c r="F63" i="40" s="1"/>
  <c r="B165" i="40"/>
  <c r="B75" i="40"/>
  <c r="B62" i="40"/>
  <c r="B125" i="40"/>
  <c r="B132" i="40"/>
  <c r="B43" i="40"/>
  <c r="D43" i="40" s="1"/>
  <c r="B109" i="40"/>
  <c r="G49" i="40"/>
  <c r="G65" i="40"/>
  <c r="I65" i="40"/>
  <c r="E65" i="40"/>
  <c r="J65" i="40"/>
  <c r="B86" i="40"/>
  <c r="B87" i="40"/>
  <c r="B50" i="40"/>
  <c r="B140" i="40"/>
  <c r="B97" i="40"/>
  <c r="B74" i="40"/>
  <c r="B71" i="40"/>
  <c r="B46" i="40"/>
  <c r="I49" i="40"/>
  <c r="F49" i="40"/>
  <c r="B168" i="40"/>
  <c r="B153" i="40"/>
  <c r="B111" i="40"/>
  <c r="B144" i="40"/>
  <c r="B121" i="40"/>
  <c r="B69" i="40"/>
  <c r="G69" i="40" s="1"/>
  <c r="B90" i="40"/>
  <c r="B60" i="40"/>
  <c r="B103" i="40"/>
  <c r="B93" i="40"/>
  <c r="B104" i="40"/>
  <c r="B48" i="40"/>
  <c r="G48" i="40" s="1"/>
  <c r="I150" i="40"/>
  <c r="D150" i="40"/>
  <c r="B163" i="40"/>
  <c r="B96" i="40"/>
  <c r="B118" i="40"/>
  <c r="B164" i="40"/>
  <c r="B61" i="40"/>
  <c r="B105" i="40"/>
  <c r="B142" i="40"/>
  <c r="B169" i="40"/>
  <c r="B129" i="40"/>
  <c r="B40" i="40"/>
  <c r="B113" i="40"/>
  <c r="B116" i="40"/>
  <c r="B152" i="40"/>
  <c r="B84" i="40"/>
  <c r="B78" i="40"/>
  <c r="B161" i="40"/>
  <c r="B51" i="40"/>
  <c r="B136" i="40"/>
  <c r="B42" i="40"/>
  <c r="B160" i="40"/>
  <c r="B145" i="40"/>
  <c r="B88" i="40"/>
  <c r="B112" i="40"/>
  <c r="B119" i="40"/>
  <c r="B166" i="40"/>
  <c r="B73" i="40"/>
  <c r="B108" i="40"/>
  <c r="B67" i="40"/>
  <c r="B115" i="40"/>
  <c r="B157" i="40"/>
  <c r="B89" i="40"/>
  <c r="B85" i="40"/>
  <c r="B68" i="40"/>
  <c r="G135" i="40"/>
  <c r="I135" i="40"/>
  <c r="F102" i="40"/>
  <c r="J102" i="40"/>
  <c r="D102" i="40"/>
  <c r="F135" i="40"/>
  <c r="B127" i="40"/>
  <c r="B80" i="40"/>
  <c r="B95" i="40"/>
  <c r="B72" i="40"/>
  <c r="B54" i="40"/>
  <c r="B58" i="40"/>
  <c r="B44" i="40"/>
  <c r="I139" i="40"/>
  <c r="D139" i="40"/>
  <c r="F139" i="40"/>
  <c r="J139" i="40"/>
  <c r="B133" i="40"/>
  <c r="B128" i="40"/>
  <c r="B34" i="40"/>
  <c r="B170" i="40"/>
  <c r="B137" i="40"/>
  <c r="E122" i="40"/>
  <c r="J122" i="40"/>
  <c r="F122" i="40"/>
  <c r="I122" i="40"/>
  <c r="B106" i="40"/>
  <c r="B126" i="40"/>
  <c r="B149" i="40"/>
  <c r="B155" i="40"/>
  <c r="E124" i="40"/>
  <c r="F124" i="40"/>
  <c r="G124" i="40"/>
  <c r="J124" i="40"/>
  <c r="I124" i="40"/>
  <c r="D124" i="40"/>
  <c r="E52" i="40"/>
  <c r="J52" i="40"/>
  <c r="F52" i="40"/>
  <c r="D52" i="40"/>
  <c r="I52" i="40"/>
  <c r="G52" i="40"/>
  <c r="B33" i="40"/>
  <c r="G37" i="40"/>
  <c r="J37" i="40"/>
  <c r="I37" i="40"/>
  <c r="E37" i="40"/>
  <c r="F37" i="40"/>
  <c r="D37" i="40"/>
  <c r="J70" i="40"/>
  <c r="D70" i="40"/>
  <c r="I70" i="40"/>
  <c r="F70" i="40"/>
  <c r="E70" i="40"/>
  <c r="G70" i="40"/>
  <c r="I77" i="40"/>
  <c r="G77" i="40"/>
  <c r="E77" i="40"/>
  <c r="D77" i="40"/>
  <c r="J77" i="40"/>
  <c r="F77" i="40"/>
  <c r="I99" i="40"/>
  <c r="J99" i="40"/>
  <c r="E99" i="40"/>
  <c r="G99" i="40"/>
  <c r="F99" i="40"/>
  <c r="D99" i="40"/>
  <c r="E141" i="40"/>
  <c r="F141" i="40"/>
  <c r="I141" i="40"/>
  <c r="D141" i="40"/>
  <c r="G141" i="40"/>
  <c r="J141" i="40"/>
  <c r="I79" i="40"/>
  <c r="E79" i="40"/>
  <c r="J79" i="40"/>
  <c r="F79" i="40"/>
  <c r="D79" i="40"/>
  <c r="G79" i="40"/>
  <c r="J101" i="40"/>
  <c r="E101" i="40"/>
  <c r="F101" i="40"/>
  <c r="G101" i="40"/>
  <c r="D101" i="40"/>
  <c r="I101" i="40"/>
  <c r="E83" i="40"/>
  <c r="D83" i="40"/>
  <c r="J83" i="40"/>
  <c r="I83" i="40"/>
  <c r="F83" i="40"/>
  <c r="G83" i="40"/>
  <c r="B32" i="40"/>
  <c r="G57" i="40"/>
  <c r="J57" i="40"/>
  <c r="D57" i="40"/>
  <c r="I57" i="40"/>
  <c r="E57" i="40"/>
  <c r="F57" i="40"/>
  <c r="D92" i="40"/>
  <c r="I92" i="40"/>
  <c r="J92" i="40"/>
  <c r="E92" i="40"/>
  <c r="F92" i="40"/>
  <c r="G92" i="40"/>
  <c r="J36" i="40"/>
  <c r="D36" i="40"/>
  <c r="G36" i="40"/>
  <c r="E36" i="40"/>
  <c r="F36" i="40"/>
  <c r="I36" i="40"/>
  <c r="G76" i="40"/>
  <c r="J76" i="40"/>
  <c r="E76" i="40"/>
  <c r="D76" i="40"/>
  <c r="I76" i="40"/>
  <c r="F76" i="40"/>
  <c r="E98" i="40"/>
  <c r="F98" i="40"/>
  <c r="I98" i="40"/>
  <c r="G98" i="40"/>
  <c r="D98" i="40"/>
  <c r="J98" i="40"/>
  <c r="I134" i="40"/>
  <c r="J134" i="40"/>
  <c r="E134" i="40"/>
  <c r="G134" i="40"/>
  <c r="D134" i="40"/>
  <c r="F134" i="40"/>
  <c r="J123" i="40"/>
  <c r="D123" i="40"/>
  <c r="I123" i="40"/>
  <c r="G123" i="40"/>
  <c r="E123" i="40"/>
  <c r="F123" i="40"/>
  <c r="G154" i="40"/>
  <c r="D154" i="40"/>
  <c r="I154" i="40"/>
  <c r="J154" i="40"/>
  <c r="E154" i="40"/>
  <c r="F154" i="40"/>
  <c r="E45" i="40"/>
  <c r="I45" i="40"/>
  <c r="F45" i="40"/>
  <c r="G45" i="40"/>
  <c r="J45" i="40"/>
  <c r="D45" i="40"/>
  <c r="K156" i="40"/>
  <c r="E114" i="40"/>
  <c r="F114" i="40"/>
  <c r="I114" i="40"/>
  <c r="J114" i="40"/>
  <c r="G114" i="40"/>
  <c r="D114" i="40"/>
  <c r="E138" i="40"/>
  <c r="D138" i="40"/>
  <c r="I138" i="40"/>
  <c r="G138" i="40"/>
  <c r="J138" i="40"/>
  <c r="F138" i="40"/>
  <c r="D41" i="40"/>
  <c r="J41" i="40"/>
  <c r="I41" i="40"/>
  <c r="F41" i="40"/>
  <c r="G41" i="40"/>
  <c r="E41" i="40"/>
  <c r="C319" i="10"/>
  <c r="C262" i="10"/>
  <c r="C321" i="10"/>
  <c r="E143" i="40" l="1"/>
  <c r="I143" i="40"/>
  <c r="F143" i="40"/>
  <c r="J143" i="40"/>
  <c r="G143" i="40"/>
  <c r="K143" i="40" s="1"/>
  <c r="C77" i="30"/>
  <c r="B47" i="10"/>
  <c r="B51" i="10" s="1"/>
  <c r="F148" i="40"/>
  <c r="J148" i="40"/>
  <c r="E148" i="40"/>
  <c r="D148" i="40"/>
  <c r="K31" i="40"/>
  <c r="G148" i="40"/>
  <c r="G66" i="40"/>
  <c r="F117" i="40"/>
  <c r="I146" i="40"/>
  <c r="J131" i="40"/>
  <c r="E94" i="40"/>
  <c r="I94" i="40"/>
  <c r="D100" i="40"/>
  <c r="D94" i="40"/>
  <c r="I147" i="40"/>
  <c r="G94" i="40"/>
  <c r="I100" i="40"/>
  <c r="E131" i="40"/>
  <c r="J100" i="40"/>
  <c r="D131" i="40"/>
  <c r="F100" i="40"/>
  <c r="J94" i="40"/>
  <c r="G131" i="40"/>
  <c r="E159" i="40"/>
  <c r="E100" i="40"/>
  <c r="F131" i="40"/>
  <c r="I117" i="40"/>
  <c r="J117" i="40"/>
  <c r="J159" i="40"/>
  <c r="E117" i="40"/>
  <c r="D117" i="40"/>
  <c r="D63" i="40"/>
  <c r="J63" i="40"/>
  <c r="E63" i="40"/>
  <c r="I63" i="40"/>
  <c r="G63" i="40"/>
  <c r="I162" i="40"/>
  <c r="F162" i="40"/>
  <c r="G159" i="40"/>
  <c r="E162" i="40"/>
  <c r="D159" i="40"/>
  <c r="J162" i="40"/>
  <c r="I159" i="40"/>
  <c r="D69" i="40"/>
  <c r="D162" i="40"/>
  <c r="I69" i="40"/>
  <c r="F69" i="40"/>
  <c r="F56" i="40"/>
  <c r="E56" i="40"/>
  <c r="G56" i="40"/>
  <c r="J69" i="40"/>
  <c r="I56" i="40"/>
  <c r="D56" i="40"/>
  <c r="D35" i="40"/>
  <c r="E35" i="40"/>
  <c r="I91" i="40"/>
  <c r="J91" i="40"/>
  <c r="F91" i="40"/>
  <c r="E91" i="40"/>
  <c r="G91" i="40"/>
  <c r="I39" i="40"/>
  <c r="J39" i="40"/>
  <c r="E69" i="40"/>
  <c r="K150" i="40"/>
  <c r="G59" i="40"/>
  <c r="D59" i="40"/>
  <c r="E59" i="40"/>
  <c r="I59" i="40"/>
  <c r="F35" i="40"/>
  <c r="G35" i="40"/>
  <c r="F130" i="40"/>
  <c r="I35" i="40"/>
  <c r="E130" i="40"/>
  <c r="I130" i="40"/>
  <c r="D130" i="40"/>
  <c r="J130" i="40"/>
  <c r="G146" i="40"/>
  <c r="E147" i="40"/>
  <c r="K49" i="40"/>
  <c r="F146" i="40"/>
  <c r="F43" i="40"/>
  <c r="K139" i="40"/>
  <c r="E43" i="40"/>
  <c r="I43" i="40"/>
  <c r="G43" i="40"/>
  <c r="J43" i="40"/>
  <c r="J146" i="40"/>
  <c r="E146" i="40"/>
  <c r="F82" i="40"/>
  <c r="F147" i="40"/>
  <c r="K102" i="40"/>
  <c r="D147" i="40"/>
  <c r="F39" i="40"/>
  <c r="J147" i="40"/>
  <c r="K65" i="40"/>
  <c r="I48" i="40"/>
  <c r="E48" i="40"/>
  <c r="G39" i="40"/>
  <c r="J82" i="40"/>
  <c r="F66" i="40"/>
  <c r="G82" i="40"/>
  <c r="D66" i="40"/>
  <c r="J48" i="40"/>
  <c r="D39" i="40"/>
  <c r="D48" i="40"/>
  <c r="I82" i="40"/>
  <c r="E66" i="40"/>
  <c r="E82" i="40"/>
  <c r="J66" i="40"/>
  <c r="E170" i="40"/>
  <c r="D170" i="40"/>
  <c r="J170" i="40"/>
  <c r="G170" i="40"/>
  <c r="I170" i="40"/>
  <c r="F170" i="40"/>
  <c r="F58" i="40"/>
  <c r="D58" i="40"/>
  <c r="J58" i="40"/>
  <c r="E58" i="40"/>
  <c r="I58" i="40"/>
  <c r="G58" i="40"/>
  <c r="F145" i="40"/>
  <c r="J145" i="40"/>
  <c r="I145" i="40"/>
  <c r="D145" i="40"/>
  <c r="G145" i="40"/>
  <c r="E145" i="40"/>
  <c r="J84" i="40"/>
  <c r="F84" i="40"/>
  <c r="I84" i="40"/>
  <c r="G84" i="40"/>
  <c r="E84" i="40"/>
  <c r="D84" i="40"/>
  <c r="I142" i="40"/>
  <c r="D142" i="40"/>
  <c r="E142" i="40"/>
  <c r="G142" i="40"/>
  <c r="J142" i="40"/>
  <c r="F142" i="40"/>
  <c r="G86" i="40"/>
  <c r="E86" i="40"/>
  <c r="J86" i="40"/>
  <c r="F86" i="40"/>
  <c r="D86" i="40"/>
  <c r="I86" i="40"/>
  <c r="I125" i="40"/>
  <c r="G125" i="40"/>
  <c r="J125" i="40"/>
  <c r="D125" i="40"/>
  <c r="E125" i="40"/>
  <c r="F125" i="40"/>
  <c r="D38" i="40"/>
  <c r="G38" i="40"/>
  <c r="E38" i="40"/>
  <c r="I38" i="40"/>
  <c r="J38" i="40"/>
  <c r="F38" i="40"/>
  <c r="I144" i="40"/>
  <c r="J144" i="40"/>
  <c r="F144" i="40"/>
  <c r="D144" i="40"/>
  <c r="G144" i="40"/>
  <c r="E144" i="40"/>
  <c r="D149" i="40"/>
  <c r="I149" i="40"/>
  <c r="G149" i="40"/>
  <c r="J149" i="40"/>
  <c r="E149" i="40"/>
  <c r="F149" i="40"/>
  <c r="I34" i="40"/>
  <c r="G34" i="40"/>
  <c r="E34" i="40"/>
  <c r="D34" i="40"/>
  <c r="F34" i="40"/>
  <c r="J34" i="40"/>
  <c r="G54" i="40"/>
  <c r="I54" i="40"/>
  <c r="D54" i="40"/>
  <c r="E54" i="40"/>
  <c r="F54" i="40"/>
  <c r="J54" i="40"/>
  <c r="J160" i="40"/>
  <c r="D160" i="40"/>
  <c r="I160" i="40"/>
  <c r="G160" i="40"/>
  <c r="F160" i="40"/>
  <c r="E160" i="40"/>
  <c r="F104" i="40"/>
  <c r="E104" i="40"/>
  <c r="J104" i="40"/>
  <c r="I104" i="40"/>
  <c r="G104" i="40"/>
  <c r="D104" i="40"/>
  <c r="F74" i="40"/>
  <c r="I74" i="40"/>
  <c r="J74" i="40"/>
  <c r="D74" i="40"/>
  <c r="G74" i="40"/>
  <c r="E74" i="40"/>
  <c r="F167" i="40"/>
  <c r="G167" i="40"/>
  <c r="D167" i="40"/>
  <c r="J167" i="40"/>
  <c r="I167" i="40"/>
  <c r="E167" i="40"/>
  <c r="K135" i="40"/>
  <c r="D133" i="40"/>
  <c r="E133" i="40"/>
  <c r="F133" i="40"/>
  <c r="J133" i="40"/>
  <c r="I133" i="40"/>
  <c r="G133" i="40"/>
  <c r="F106" i="40"/>
  <c r="G106" i="40"/>
  <c r="D106" i="40"/>
  <c r="E106" i="40"/>
  <c r="I106" i="40"/>
  <c r="J106" i="40"/>
  <c r="F115" i="40"/>
  <c r="I115" i="40"/>
  <c r="J115" i="40"/>
  <c r="G115" i="40"/>
  <c r="D115" i="40"/>
  <c r="E115" i="40"/>
  <c r="D155" i="40"/>
  <c r="E155" i="40"/>
  <c r="G155" i="40"/>
  <c r="F155" i="40"/>
  <c r="J155" i="40"/>
  <c r="I155" i="40"/>
  <c r="G67" i="40"/>
  <c r="E67" i="40"/>
  <c r="F67" i="40"/>
  <c r="D67" i="40"/>
  <c r="J67" i="40"/>
  <c r="I67" i="40"/>
  <c r="E62" i="40"/>
  <c r="I62" i="40"/>
  <c r="J62" i="40"/>
  <c r="F62" i="40"/>
  <c r="D62" i="40"/>
  <c r="G62" i="40"/>
  <c r="I108" i="40"/>
  <c r="J108" i="40"/>
  <c r="G108" i="40"/>
  <c r="D108" i="40"/>
  <c r="F108" i="40"/>
  <c r="E108" i="40"/>
  <c r="G152" i="40"/>
  <c r="I152" i="40"/>
  <c r="D152" i="40"/>
  <c r="F152" i="40"/>
  <c r="J152" i="40"/>
  <c r="E152" i="40"/>
  <c r="J105" i="40"/>
  <c r="E105" i="40"/>
  <c r="D105" i="40"/>
  <c r="F105" i="40"/>
  <c r="G105" i="40"/>
  <c r="I105" i="40"/>
  <c r="E121" i="40"/>
  <c r="J121" i="40"/>
  <c r="F121" i="40"/>
  <c r="I121" i="40"/>
  <c r="G121" i="40"/>
  <c r="D121" i="40"/>
  <c r="G71" i="40"/>
  <c r="F71" i="40"/>
  <c r="J71" i="40"/>
  <c r="E71" i="40"/>
  <c r="I71" i="40"/>
  <c r="D71" i="40"/>
  <c r="F107" i="40"/>
  <c r="I107" i="40"/>
  <c r="E107" i="40"/>
  <c r="J107" i="40"/>
  <c r="G107" i="40"/>
  <c r="D107" i="40"/>
  <c r="G120" i="40"/>
  <c r="E120" i="40"/>
  <c r="J120" i="40"/>
  <c r="I120" i="40"/>
  <c r="F120" i="40"/>
  <c r="D120" i="40"/>
  <c r="E126" i="40"/>
  <c r="D126" i="40"/>
  <c r="J126" i="40"/>
  <c r="I126" i="40"/>
  <c r="G126" i="40"/>
  <c r="F126" i="40"/>
  <c r="G128" i="40"/>
  <c r="E128" i="40"/>
  <c r="J128" i="40"/>
  <c r="F128" i="40"/>
  <c r="D128" i="40"/>
  <c r="I128" i="40"/>
  <c r="G73" i="40"/>
  <c r="F73" i="40"/>
  <c r="I73" i="40"/>
  <c r="J73" i="40"/>
  <c r="E73" i="40"/>
  <c r="D73" i="40"/>
  <c r="G116" i="40"/>
  <c r="E116" i="40"/>
  <c r="I116" i="40"/>
  <c r="F116" i="40"/>
  <c r="D116" i="40"/>
  <c r="J116" i="40"/>
  <c r="E61" i="40"/>
  <c r="I61" i="40"/>
  <c r="J61" i="40"/>
  <c r="D61" i="40"/>
  <c r="G61" i="40"/>
  <c r="G75" i="40"/>
  <c r="E75" i="40"/>
  <c r="F75" i="40"/>
  <c r="J75" i="40"/>
  <c r="D75" i="40"/>
  <c r="I75" i="40"/>
  <c r="G151" i="40"/>
  <c r="D151" i="40"/>
  <c r="I151" i="40"/>
  <c r="E151" i="40"/>
  <c r="F151" i="40"/>
  <c r="J151" i="40"/>
  <c r="E72" i="40"/>
  <c r="I72" i="40"/>
  <c r="G72" i="40"/>
  <c r="D72" i="40"/>
  <c r="F72" i="40"/>
  <c r="J72" i="40"/>
  <c r="J68" i="40"/>
  <c r="F68" i="40"/>
  <c r="E68" i="40"/>
  <c r="I68" i="40"/>
  <c r="G68" i="40"/>
  <c r="D68" i="40"/>
  <c r="D42" i="40"/>
  <c r="I42" i="40"/>
  <c r="J42" i="40"/>
  <c r="G42" i="40"/>
  <c r="F42" i="40"/>
  <c r="E42" i="40"/>
  <c r="D93" i="40"/>
  <c r="I93" i="40"/>
  <c r="F93" i="40"/>
  <c r="J93" i="40"/>
  <c r="E93" i="40"/>
  <c r="G93" i="40"/>
  <c r="J111" i="40"/>
  <c r="E111" i="40"/>
  <c r="D111" i="40"/>
  <c r="I111" i="40"/>
  <c r="G111" i="40"/>
  <c r="F111" i="40"/>
  <c r="E165" i="40"/>
  <c r="I165" i="40"/>
  <c r="D165" i="40"/>
  <c r="G165" i="40"/>
  <c r="F165" i="40"/>
  <c r="J165" i="40"/>
  <c r="I47" i="40"/>
  <c r="D47" i="40"/>
  <c r="G47" i="40"/>
  <c r="F47" i="40"/>
  <c r="E47" i="40"/>
  <c r="J47" i="40"/>
  <c r="D95" i="40"/>
  <c r="E95" i="40"/>
  <c r="J95" i="40"/>
  <c r="G95" i="40"/>
  <c r="F95" i="40"/>
  <c r="I95" i="40"/>
  <c r="E166" i="40"/>
  <c r="J166" i="40"/>
  <c r="G166" i="40"/>
  <c r="D166" i="40"/>
  <c r="I166" i="40"/>
  <c r="F166" i="40"/>
  <c r="D113" i="40"/>
  <c r="F113" i="40"/>
  <c r="J113" i="40"/>
  <c r="I113" i="40"/>
  <c r="E113" i="40"/>
  <c r="G113" i="40"/>
  <c r="D97" i="40"/>
  <c r="G97" i="40"/>
  <c r="I97" i="40"/>
  <c r="J97" i="40"/>
  <c r="F97" i="40"/>
  <c r="E97" i="40"/>
  <c r="I85" i="40"/>
  <c r="J85" i="40"/>
  <c r="G85" i="40"/>
  <c r="D85" i="40"/>
  <c r="E85" i="40"/>
  <c r="F85" i="40"/>
  <c r="G136" i="40"/>
  <c r="I136" i="40"/>
  <c r="D136" i="40"/>
  <c r="E136" i="40"/>
  <c r="F136" i="40"/>
  <c r="J136" i="40"/>
  <c r="D164" i="40"/>
  <c r="F164" i="40"/>
  <c r="J164" i="40"/>
  <c r="G164" i="40"/>
  <c r="I164" i="40"/>
  <c r="E164" i="40"/>
  <c r="D103" i="40"/>
  <c r="G103" i="40"/>
  <c r="F103" i="40"/>
  <c r="I103" i="40"/>
  <c r="E103" i="40"/>
  <c r="J103" i="40"/>
  <c r="I140" i="40"/>
  <c r="D140" i="40"/>
  <c r="E140" i="40"/>
  <c r="F140" i="40"/>
  <c r="J140" i="40"/>
  <c r="G140" i="40"/>
  <c r="F64" i="40"/>
  <c r="I64" i="40"/>
  <c r="G64" i="40"/>
  <c r="J64" i="40"/>
  <c r="D64" i="40"/>
  <c r="E64" i="40"/>
  <c r="F80" i="40"/>
  <c r="I80" i="40"/>
  <c r="J80" i="40"/>
  <c r="G80" i="40"/>
  <c r="D80" i="40"/>
  <c r="E80" i="40"/>
  <c r="E89" i="40"/>
  <c r="F89" i="40"/>
  <c r="G89" i="40"/>
  <c r="D89" i="40"/>
  <c r="I89" i="40"/>
  <c r="J89" i="40"/>
  <c r="E51" i="40"/>
  <c r="F51" i="40"/>
  <c r="I51" i="40"/>
  <c r="G51" i="40"/>
  <c r="J51" i="40"/>
  <c r="D51" i="40"/>
  <c r="D153" i="40"/>
  <c r="J153" i="40"/>
  <c r="F153" i="40"/>
  <c r="I153" i="40"/>
  <c r="G153" i="40"/>
  <c r="E153" i="40"/>
  <c r="D109" i="40"/>
  <c r="F109" i="40"/>
  <c r="J109" i="40"/>
  <c r="I109" i="40"/>
  <c r="G109" i="40"/>
  <c r="E109" i="40"/>
  <c r="K122" i="40"/>
  <c r="E119" i="40"/>
  <c r="D119" i="40"/>
  <c r="F119" i="40"/>
  <c r="G119" i="40"/>
  <c r="I119" i="40"/>
  <c r="J119" i="40"/>
  <c r="G40" i="40"/>
  <c r="E40" i="40"/>
  <c r="F40" i="40"/>
  <c r="I40" i="40"/>
  <c r="J40" i="40"/>
  <c r="D40" i="40"/>
  <c r="J118" i="40"/>
  <c r="F118" i="40"/>
  <c r="G118" i="40"/>
  <c r="D118" i="40"/>
  <c r="I118" i="40"/>
  <c r="E118" i="40"/>
  <c r="D158" i="40"/>
  <c r="G158" i="40"/>
  <c r="I158" i="40"/>
  <c r="J158" i="40"/>
  <c r="E158" i="40"/>
  <c r="F158" i="40"/>
  <c r="D127" i="40"/>
  <c r="G127" i="40"/>
  <c r="F127" i="40"/>
  <c r="J127" i="40"/>
  <c r="I127" i="40"/>
  <c r="E127" i="40"/>
  <c r="J157" i="40"/>
  <c r="D157" i="40"/>
  <c r="F157" i="40"/>
  <c r="G157" i="40"/>
  <c r="I157" i="40"/>
  <c r="E157" i="40"/>
  <c r="G96" i="40"/>
  <c r="E96" i="40"/>
  <c r="D96" i="40"/>
  <c r="J96" i="40"/>
  <c r="F96" i="40"/>
  <c r="I96" i="40"/>
  <c r="G90" i="40"/>
  <c r="E90" i="40"/>
  <c r="F90" i="40"/>
  <c r="I90" i="40"/>
  <c r="D90" i="40"/>
  <c r="J90" i="40"/>
  <c r="E168" i="40"/>
  <c r="D168" i="40"/>
  <c r="F168" i="40"/>
  <c r="I168" i="40"/>
  <c r="J168" i="40"/>
  <c r="G168" i="40"/>
  <c r="I50" i="40"/>
  <c r="J50" i="40"/>
  <c r="F50" i="40"/>
  <c r="G50" i="40"/>
  <c r="E50" i="40"/>
  <c r="D50" i="40"/>
  <c r="G81" i="40"/>
  <c r="F81" i="40"/>
  <c r="D81" i="40"/>
  <c r="J81" i="40"/>
  <c r="E81" i="40"/>
  <c r="I81" i="40"/>
  <c r="E55" i="40"/>
  <c r="J55" i="40"/>
  <c r="G55" i="40"/>
  <c r="F55" i="40"/>
  <c r="D55" i="40"/>
  <c r="I55" i="40"/>
  <c r="G112" i="40"/>
  <c r="J112" i="40"/>
  <c r="I112" i="40"/>
  <c r="E112" i="40"/>
  <c r="F112" i="40"/>
  <c r="D112" i="40"/>
  <c r="E161" i="40"/>
  <c r="D161" i="40"/>
  <c r="F161" i="40"/>
  <c r="J161" i="40"/>
  <c r="I161" i="40"/>
  <c r="G161" i="40"/>
  <c r="E129" i="40"/>
  <c r="I129" i="40"/>
  <c r="G129" i="40"/>
  <c r="D129" i="40"/>
  <c r="J129" i="40"/>
  <c r="F129" i="40"/>
  <c r="F87" i="40"/>
  <c r="I87" i="40"/>
  <c r="D87" i="40"/>
  <c r="G87" i="40"/>
  <c r="J87" i="40"/>
  <c r="E87" i="40"/>
  <c r="E137" i="40"/>
  <c r="G137" i="40"/>
  <c r="D137" i="40"/>
  <c r="J137" i="40"/>
  <c r="F137" i="40"/>
  <c r="I137" i="40"/>
  <c r="F44" i="40"/>
  <c r="E44" i="40"/>
  <c r="J44" i="40"/>
  <c r="D44" i="40"/>
  <c r="I44" i="40"/>
  <c r="G44" i="40"/>
  <c r="G88" i="40"/>
  <c r="D88" i="40"/>
  <c r="J88" i="40"/>
  <c r="F88" i="40"/>
  <c r="I88" i="40"/>
  <c r="E88" i="40"/>
  <c r="J132" i="40"/>
  <c r="E132" i="40"/>
  <c r="F132" i="40"/>
  <c r="D132" i="40"/>
  <c r="G132" i="40"/>
  <c r="I132" i="40"/>
  <c r="G53" i="40"/>
  <c r="I53" i="40"/>
  <c r="E53" i="40"/>
  <c r="J53" i="40"/>
  <c r="D53" i="40"/>
  <c r="G110" i="40"/>
  <c r="I110" i="40"/>
  <c r="F110" i="40"/>
  <c r="J110" i="40"/>
  <c r="D110" i="40"/>
  <c r="E110" i="40"/>
  <c r="D78" i="40"/>
  <c r="F78" i="40"/>
  <c r="I78" i="40"/>
  <c r="G78" i="40"/>
  <c r="J78" i="40"/>
  <c r="E78" i="40"/>
  <c r="F169" i="40"/>
  <c r="G169" i="40"/>
  <c r="J169" i="40"/>
  <c r="E169" i="40"/>
  <c r="I169" i="40"/>
  <c r="D169" i="40"/>
  <c r="D163" i="40"/>
  <c r="J163" i="40"/>
  <c r="G163" i="40"/>
  <c r="E163" i="40"/>
  <c r="F163" i="40"/>
  <c r="I163" i="40"/>
  <c r="D46" i="40"/>
  <c r="J46" i="40"/>
  <c r="F46" i="40"/>
  <c r="E46" i="40"/>
  <c r="G46" i="40"/>
  <c r="I46" i="40"/>
  <c r="K98" i="40"/>
  <c r="K101" i="40"/>
  <c r="K70" i="40"/>
  <c r="K79" i="40"/>
  <c r="K99" i="40"/>
  <c r="K52" i="40"/>
  <c r="G32" i="40"/>
  <c r="J32" i="40"/>
  <c r="I32" i="40"/>
  <c r="D32" i="40"/>
  <c r="F32" i="40"/>
  <c r="E32" i="40"/>
  <c r="K154" i="40"/>
  <c r="K41" i="40"/>
  <c r="K45" i="40"/>
  <c r="K134" i="40"/>
  <c r="K92" i="40"/>
  <c r="K37" i="40"/>
  <c r="K76" i="40"/>
  <c r="K141" i="40"/>
  <c r="K124" i="40"/>
  <c r="K36" i="40"/>
  <c r="K77" i="40"/>
  <c r="J33" i="40"/>
  <c r="F33" i="40"/>
  <c r="D33" i="40"/>
  <c r="G33" i="40"/>
  <c r="E33" i="40"/>
  <c r="I33" i="40"/>
  <c r="K48" i="40"/>
  <c r="K138" i="40"/>
  <c r="K123" i="40"/>
  <c r="K114" i="40"/>
  <c r="K57" i="40"/>
  <c r="K83" i="40"/>
  <c r="B54" i="10" l="1"/>
  <c r="B56" i="10" s="1"/>
  <c r="B64" i="10" s="1"/>
  <c r="K148" i="40"/>
  <c r="K94" i="40"/>
  <c r="K63" i="40"/>
  <c r="K117" i="40"/>
  <c r="K69" i="40"/>
  <c r="K131" i="40"/>
  <c r="K100" i="40"/>
  <c r="K159" i="40"/>
  <c r="K162" i="40"/>
  <c r="K56" i="40"/>
  <c r="K35" i="40"/>
  <c r="K91" i="40"/>
  <c r="K130" i="40"/>
  <c r="K59" i="40"/>
  <c r="K147" i="40"/>
  <c r="K146" i="40"/>
  <c r="K43" i="40"/>
  <c r="K66" i="40"/>
  <c r="K39" i="40"/>
  <c r="K82" i="40"/>
  <c r="K109" i="40"/>
  <c r="K85" i="40"/>
  <c r="K151" i="40"/>
  <c r="K129" i="40"/>
  <c r="K81" i="40"/>
  <c r="K137" i="40"/>
  <c r="K90" i="40"/>
  <c r="K53" i="40"/>
  <c r="K64" i="40"/>
  <c r="K119" i="40"/>
  <c r="K153" i="40"/>
  <c r="K89" i="40"/>
  <c r="K168" i="40"/>
  <c r="K80" i="40"/>
  <c r="K95" i="40"/>
  <c r="K72" i="40"/>
  <c r="K75" i="40"/>
  <c r="K163" i="40"/>
  <c r="K158" i="40"/>
  <c r="K51" i="40"/>
  <c r="K107" i="40"/>
  <c r="K111" i="40"/>
  <c r="K61" i="40"/>
  <c r="K132" i="40"/>
  <c r="K44" i="40"/>
  <c r="K157" i="40"/>
  <c r="K71" i="40"/>
  <c r="K62" i="40"/>
  <c r="K166" i="40"/>
  <c r="K47" i="40"/>
  <c r="K110" i="40"/>
  <c r="K128" i="40"/>
  <c r="K152" i="40"/>
  <c r="K88" i="40"/>
  <c r="K50" i="40"/>
  <c r="K55" i="40"/>
  <c r="K140" i="40"/>
  <c r="K164" i="40"/>
  <c r="K133" i="40"/>
  <c r="K46" i="40"/>
  <c r="K169" i="40"/>
  <c r="K161" i="40"/>
  <c r="K136" i="40"/>
  <c r="K165" i="40"/>
  <c r="K93" i="40"/>
  <c r="K126" i="40"/>
  <c r="K118" i="40"/>
  <c r="K68" i="40"/>
  <c r="K121" i="40"/>
  <c r="K125" i="40"/>
  <c r="K145" i="40"/>
  <c r="K108" i="40"/>
  <c r="K67" i="40"/>
  <c r="K115" i="40"/>
  <c r="K78" i="40"/>
  <c r="K87" i="40"/>
  <c r="K112" i="40"/>
  <c r="K40" i="40"/>
  <c r="K103" i="40"/>
  <c r="K42" i="40"/>
  <c r="K105" i="40"/>
  <c r="K104" i="40"/>
  <c r="K34" i="40"/>
  <c r="K144" i="40"/>
  <c r="K155" i="40"/>
  <c r="K167" i="40"/>
  <c r="K160" i="40"/>
  <c r="K58" i="40"/>
  <c r="K113" i="40"/>
  <c r="K73" i="40"/>
  <c r="K120" i="40"/>
  <c r="K106" i="40"/>
  <c r="K38" i="40"/>
  <c r="K86" i="40"/>
  <c r="K84" i="40"/>
  <c r="K170" i="40"/>
  <c r="K149" i="40"/>
  <c r="K142" i="40"/>
  <c r="K96" i="40"/>
  <c r="K127" i="40"/>
  <c r="K97" i="40"/>
  <c r="K116" i="40"/>
  <c r="K74" i="40"/>
  <c r="K54" i="40"/>
  <c r="K32" i="40"/>
  <c r="K33" i="40"/>
  <c r="B65" i="10" l="1"/>
  <c r="C89" i="30"/>
  <c r="C84" i="30"/>
  <c r="L34" i="10"/>
  <c r="K29" i="40"/>
  <c r="K30" i="40"/>
  <c r="C96" i="30" l="1"/>
  <c r="B66" i="10"/>
  <c r="L35" i="10"/>
  <c r="B69" i="10" l="1"/>
  <c r="B70" i="10" s="1"/>
  <c r="B75" i="10" s="1"/>
  <c r="C108" i="30"/>
  <c r="J27" i="10"/>
  <c r="J26" i="10"/>
  <c r="J20" i="10"/>
  <c r="J28" i="10"/>
  <c r="J17" i="10"/>
  <c r="J21" i="10"/>
  <c r="J24" i="10"/>
  <c r="J22" i="10"/>
  <c r="H27" i="10"/>
  <c r="H15" i="10"/>
  <c r="J19" i="10"/>
  <c r="H28" i="10"/>
  <c r="J15" i="10"/>
  <c r="J18" i="10"/>
  <c r="J25" i="10"/>
  <c r="J16" i="10"/>
  <c r="H26" i="10"/>
  <c r="J23" i="10"/>
  <c r="H16" i="10"/>
  <c r="B78" i="10" l="1"/>
  <c r="L27" i="10"/>
  <c r="L15" i="10"/>
  <c r="L28" i="10"/>
  <c r="H17" i="10"/>
  <c r="L26" i="10"/>
  <c r="J29" i="10"/>
  <c r="L16" i="10"/>
  <c r="B80" i="10" l="1"/>
  <c r="C128" i="30"/>
  <c r="D138" i="30"/>
  <c r="H18" i="10"/>
  <c r="L18" i="10" s="1"/>
  <c r="L17" i="10"/>
  <c r="B81" i="10" l="1"/>
  <c r="B82" i="10" s="1"/>
  <c r="B83" i="10" s="1"/>
  <c r="B84" i="10" s="1"/>
  <c r="H19" i="10"/>
  <c r="H20" i="10"/>
  <c r="J84" i="10" l="1"/>
  <c r="B86" i="10"/>
  <c r="J88" i="10" s="1"/>
  <c r="C132" i="30"/>
  <c r="L19" i="10"/>
  <c r="H21" i="10"/>
  <c r="L21" i="10" s="1"/>
  <c r="H22" i="10"/>
  <c r="L22" i="10" s="1"/>
  <c r="L20" i="10"/>
  <c r="B88" i="10" l="1"/>
  <c r="B93" i="10" s="1"/>
  <c r="C137" i="30"/>
  <c r="H23" i="10"/>
  <c r="B95" i="10" l="1"/>
  <c r="H25" i="10"/>
  <c r="L23" i="10"/>
  <c r="B96" i="10" l="1"/>
  <c r="B97" i="10" s="1"/>
  <c r="B98" i="10" s="1"/>
  <c r="B99" i="10" s="1"/>
  <c r="H24" i="10"/>
  <c r="L24" i="10" s="1"/>
  <c r="L25" i="10"/>
  <c r="B101" i="10" l="1"/>
  <c r="J101" i="10"/>
  <c r="J99" i="10"/>
  <c r="H29" i="10"/>
  <c r="L29" i="10"/>
  <c r="B109" i="10" l="1"/>
  <c r="C121" i="30"/>
  <c r="C141" i="30"/>
  <c r="C36" i="10"/>
  <c r="B111" i="10" l="1"/>
  <c r="B112" i="10" l="1"/>
  <c r="B113" i="10" s="1"/>
  <c r="J115" i="10" s="1"/>
  <c r="C147" i="30"/>
  <c r="B115" i="10" l="1"/>
  <c r="C152" i="30"/>
  <c r="B117" i="10" l="1"/>
  <c r="B119" i="10" s="1"/>
  <c r="B125" i="10" s="1"/>
  <c r="J119" i="10" l="1"/>
  <c r="B127" i="10"/>
  <c r="B128" i="10" l="1"/>
  <c r="B129" i="10" s="1"/>
  <c r="J131" i="10" s="1"/>
  <c r="C168" i="30"/>
  <c r="B131" i="10" l="1"/>
  <c r="C174" i="30"/>
  <c r="B132" i="10" l="1"/>
  <c r="J132" i="10"/>
  <c r="B141" i="10" l="1"/>
  <c r="C163" i="30"/>
  <c r="B142" i="10" l="1"/>
  <c r="C188" i="30"/>
  <c r="C190" i="30" l="1"/>
  <c r="B143" i="10"/>
  <c r="C192" i="30" l="1"/>
  <c r="B144" i="10"/>
  <c r="B145" i="10" l="1"/>
  <c r="C194" i="30"/>
  <c r="C196" i="30" l="1"/>
  <c r="C198" i="30" s="1"/>
  <c r="B146" i="10"/>
  <c r="B152" i="10" s="1"/>
  <c r="B153" i="10" l="1"/>
  <c r="C202" i="30"/>
  <c r="J154" i="10"/>
  <c r="B154" i="10" l="1"/>
  <c r="B162" i="10" s="1"/>
  <c r="C209" i="30"/>
  <c r="B163" i="10" l="1"/>
  <c r="B168" i="10" s="1"/>
  <c r="C215" i="30" l="1"/>
  <c r="B169" i="10"/>
  <c r="B170" i="10" s="1"/>
  <c r="B171" i="10" s="1"/>
  <c r="B172" i="10" s="1"/>
  <c r="B178" i="10" s="1"/>
  <c r="J172" i="10" l="1"/>
  <c r="B179" i="10"/>
  <c r="B180" i="10" s="1"/>
  <c r="B182" i="10" s="1"/>
  <c r="B188" i="10" l="1"/>
  <c r="C228" i="30"/>
  <c r="J182" i="10"/>
  <c r="B189" i="10" l="1"/>
  <c r="B190" i="10" s="1"/>
  <c r="B191" i="10" s="1"/>
  <c r="B192" i="10" s="1"/>
  <c r="B193" i="10" s="1"/>
  <c r="C245" i="30"/>
  <c r="B198" i="10" l="1"/>
  <c r="C251" i="30"/>
  <c r="B200" i="10" l="1"/>
  <c r="C255" i="30"/>
  <c r="C262" i="30" l="1"/>
  <c r="B203" i="10"/>
  <c r="B205" i="10" l="1"/>
  <c r="B207" i="10" s="1"/>
  <c r="B213" i="10" s="1"/>
  <c r="C266" i="30"/>
  <c r="D256" i="30" l="1"/>
  <c r="B215" i="10"/>
  <c r="B217" i="10" s="1"/>
  <c r="C278" i="30" s="1"/>
  <c r="D286" i="30" l="1"/>
  <c r="B224" i="10"/>
  <c r="B230" i="10" l="1"/>
  <c r="C292" i="30"/>
  <c r="C297" i="30" l="1"/>
  <c r="B233" i="10"/>
  <c r="B239" i="10" l="1"/>
  <c r="D350" i="30"/>
  <c r="C343" i="30" l="1"/>
  <c r="B245" i="10"/>
  <c r="E333" i="30"/>
  <c r="E329" i="30"/>
  <c r="B249" i="10" l="1"/>
  <c r="B252" i="10" s="1"/>
  <c r="D340" i="30"/>
  <c r="C308" i="30"/>
  <c r="C355" i="30" l="1"/>
  <c r="B257" i="10"/>
  <c r="B258" i="10" l="1"/>
  <c r="B265" i="10" s="1"/>
  <c r="C386" i="30" l="1"/>
  <c r="B266" i="10"/>
  <c r="D203" i="30"/>
  <c r="C364" i="30"/>
  <c r="C391" i="30" l="1"/>
  <c r="D510" i="30"/>
  <c r="B269" i="10"/>
  <c r="B270" i="10" l="1"/>
  <c r="B271" i="10" s="1"/>
  <c r="B272" i="10" s="1"/>
  <c r="B273" i="10" s="1"/>
  <c r="B274" i="10" s="1"/>
  <c r="B275" i="10" s="1"/>
  <c r="B276" i="10" s="1"/>
  <c r="B277" i="10" s="1"/>
  <c r="B279" i="10" s="1"/>
  <c r="B280" i="10" l="1"/>
  <c r="B281" i="10" s="1"/>
  <c r="B282" i="10" s="1"/>
  <c r="B283" i="10" s="1"/>
  <c r="B284" i="10" s="1"/>
  <c r="B285" i="10" s="1"/>
  <c r="B286" i="10" s="1"/>
  <c r="C405" i="30"/>
  <c r="B288" i="10" l="1"/>
  <c r="C409" i="30"/>
  <c r="C415" i="30" l="1"/>
  <c r="B289" i="10"/>
  <c r="D387" i="30"/>
  <c r="H289" i="10"/>
  <c r="B291" i="10" l="1"/>
  <c r="C400" i="30"/>
  <c r="D427" i="30"/>
  <c r="D401" i="30"/>
  <c r="B292" i="10" l="1"/>
  <c r="C419" i="30"/>
  <c r="C426" i="30" l="1"/>
  <c r="D444" i="30"/>
  <c r="B294" i="10"/>
  <c r="D410" i="30"/>
  <c r="C433" i="30" l="1"/>
  <c r="B295" i="10"/>
  <c r="C438" i="30" l="1"/>
  <c r="B296" i="10"/>
  <c r="B298" i="10" l="1"/>
  <c r="C443" i="30"/>
  <c r="D423" i="30"/>
  <c r="B301" i="10" l="1"/>
  <c r="H301" i="10"/>
  <c r="B304" i="10" l="1"/>
  <c r="B305" i="10" l="1"/>
  <c r="B306" i="10" s="1"/>
  <c r="C451" i="30"/>
  <c r="D471" i="30" l="1"/>
  <c r="B307" i="10"/>
  <c r="C455" i="30" l="1"/>
  <c r="B308" i="10"/>
  <c r="B309" i="10" l="1"/>
  <c r="C458" i="30"/>
  <c r="D476" i="30"/>
  <c r="D377" i="30" l="1"/>
  <c r="B310" i="10"/>
  <c r="C461" i="30"/>
  <c r="C466" i="30" l="1"/>
  <c r="B311" i="10"/>
  <c r="C470" i="30" l="1"/>
  <c r="B312" i="10"/>
  <c r="C483" i="30" l="1"/>
  <c r="B314" i="10"/>
  <c r="H314" i="10"/>
  <c r="B316" i="10" l="1"/>
  <c r="B323" i="10" s="1"/>
  <c r="H316" i="10"/>
  <c r="B328" i="10" l="1"/>
  <c r="C264" i="10"/>
  <c r="C487" i="30"/>
  <c r="D396" i="30"/>
  <c r="C498" i="30" l="1"/>
  <c r="B329" i="10" l="1"/>
  <c r="B330" i="10" s="1"/>
  <c r="B331" i="10" s="1"/>
  <c r="B332" i="10" s="1"/>
  <c r="C502" i="30"/>
  <c r="B333" i="10" l="1"/>
  <c r="J333" i="10"/>
  <c r="B340" i="10" l="1"/>
  <c r="B341" i="10" s="1"/>
  <c r="B342" i="10" s="1"/>
  <c r="B343" i="10" s="1"/>
  <c r="B344" i="10" s="1"/>
  <c r="B345" i="10" s="1"/>
  <c r="B346" i="10" s="1"/>
  <c r="B347" i="10" s="1"/>
  <c r="B348" i="10" s="1"/>
  <c r="B349" i="10" s="1"/>
  <c r="B350" i="10" s="1"/>
  <c r="C495" i="30"/>
</calcChain>
</file>

<file path=xl/sharedStrings.xml><?xml version="1.0" encoding="utf-8"?>
<sst xmlns="http://schemas.openxmlformats.org/spreadsheetml/2006/main" count="570" uniqueCount="404">
  <si>
    <t>Contact Details</t>
  </si>
  <si>
    <t>For CIPFA Use</t>
  </si>
  <si>
    <t xml:space="preserve">Name of Authority : </t>
  </si>
  <si>
    <t>Library Service Contact:</t>
  </si>
  <si>
    <t xml:space="preserve"> </t>
  </si>
  <si>
    <t>Name :</t>
  </si>
  <si>
    <t>..</t>
  </si>
  <si>
    <t>Job Title:</t>
  </si>
  <si>
    <t>Tel :</t>
  </si>
  <si>
    <t>Email :</t>
  </si>
  <si>
    <t>Finance Contact:</t>
  </si>
  <si>
    <t>Additional Contacts:</t>
  </si>
  <si>
    <t>Please specify the email addresses of any other contacts involved in collating these statistics, including any departmental</t>
  </si>
  <si>
    <t>email addresses.  If entering more than one, they should be separated by a semi colon.</t>
  </si>
  <si>
    <t>Introduction</t>
  </si>
  <si>
    <r>
      <t xml:space="preserve">The answer to all questions in the main body of the Questionnaire should exclude details of services provided to educational establishments, prisons and hospitals - and any other rechargeable services.
</t>
    </r>
    <r>
      <rPr>
        <b/>
        <sz val="8"/>
        <color indexed="47"/>
        <rFont val="Verdana"/>
        <family val="2"/>
      </rPr>
      <t xml:space="preserve">NB. Information relating to Archive Services is specifically excluded from the questionnaire.
</t>
    </r>
    <r>
      <rPr>
        <sz val="8"/>
        <rFont val="Verdana"/>
        <family val="2"/>
      </rPr>
      <t>General data e.g. population, area, etc. will be obtained by CIPFA from other sources (Ordnance Survey, ONS)
Please express all figures in actual units. If figures are not available, best estimates are acceptable.</t>
    </r>
  </si>
  <si>
    <r>
      <t xml:space="preserve">Providing CIPFA with your information indicates that you agree to us processing your personal information for relevant targeted communications to you promoting our services. You may change your communication preferences by requesting this at </t>
    </r>
    <r>
      <rPr>
        <b/>
        <sz val="8"/>
        <rFont val="Verdana"/>
        <family val="2"/>
      </rPr>
      <t>analytics@cipfa.org</t>
    </r>
    <r>
      <rPr>
        <sz val="8"/>
        <rFont val="Verdana"/>
        <family val="2"/>
      </rPr>
      <t xml:space="preserve"> at any time. To view our Privacy Policy and Terms and Conditions go to </t>
    </r>
    <r>
      <rPr>
        <b/>
        <sz val="8"/>
        <rFont val="Verdana"/>
        <family val="2"/>
      </rPr>
      <t>www.cipfa.org/privacy</t>
    </r>
    <r>
      <rPr>
        <sz val="8"/>
        <rFont val="Verdana"/>
        <family val="2"/>
      </rPr>
      <t xml:space="preserve"> and </t>
    </r>
    <r>
      <rPr>
        <b/>
        <sz val="8"/>
        <rFont val="Verdana"/>
        <family val="2"/>
      </rPr>
      <t>https://www.cipfa.org/terms-and-conditions/cipfa-stats</t>
    </r>
  </si>
  <si>
    <t>Email address to return questionnaire: libraries@cipfa.org</t>
  </si>
  <si>
    <t>Please refer to the notes of guidance before completing this form.</t>
  </si>
  <si>
    <t>Thank you for your collaboration. If you have any questions or problems do not hesitate to contact Will Gibby or Sam Dickie, Data Analyst:</t>
  </si>
  <si>
    <t>by email:</t>
  </si>
  <si>
    <t>libraries@cipfa.org</t>
  </si>
  <si>
    <t>or by telephone:</t>
  </si>
  <si>
    <t>020 7543 5683</t>
  </si>
  <si>
    <t>The Chartered Institute of Public Finance and Accountancy (CIPFA)</t>
  </si>
  <si>
    <t>77 Mansell Street, London, E1 8AN</t>
  </si>
  <si>
    <t>Go to Guidance --&gt;</t>
  </si>
  <si>
    <t>Cells are auto-filled based off of previous pre-Covid returns and should be checked and updated if needed.</t>
  </si>
  <si>
    <t>Unstaffed opening hours are when technology allows public access to a library without staff members present.</t>
  </si>
  <si>
    <t>Unstaffed hours will be included in the Number of Static Service Points Open totals at the beginning of Section 1 of the questionnaire.</t>
  </si>
  <si>
    <r>
      <t>If the service point is no longer in operation, simply delete the cell contents (</t>
    </r>
    <r>
      <rPr>
        <b/>
        <u/>
        <sz val="8"/>
        <rFont val="Verdana"/>
        <family val="2"/>
      </rPr>
      <t>NOT</t>
    </r>
    <r>
      <rPr>
        <sz val="8"/>
        <rFont val="Verdana"/>
        <family val="2"/>
      </rPr>
      <t xml:space="preserve"> the row).</t>
    </r>
  </si>
  <si>
    <t>If the Cells below are blank and you provided a return last year, please return to the contacts tab and fill it in.</t>
  </si>
  <si>
    <t>Use one line for each service point (including mobile libraries).  If a mobile, please select "Mobile" under column (iii) and scheduled opening hours per</t>
  </si>
  <si>
    <t>week in columns (iv) and (v). Likewise for a static library, but select "Static" under column (iii).</t>
  </si>
  <si>
    <r>
      <t>To return to the 'Questionnaire' tab,</t>
    </r>
    <r>
      <rPr>
        <b/>
        <u/>
        <sz val="8"/>
        <color indexed="12"/>
        <rFont val="Verdana"/>
        <family val="2"/>
      </rPr>
      <t xml:space="preserve"> click here</t>
    </r>
  </si>
  <si>
    <t>Service Point</t>
  </si>
  <si>
    <t>Library Name</t>
  </si>
  <si>
    <t>Type (Static/Mobile)</t>
  </si>
  <si>
    <t>Scheduled Opening Hours per Week (staffed)</t>
  </si>
  <si>
    <t>Scheduled Opening Hours per Week (unstaffed)</t>
  </si>
  <si>
    <t>Actual Opening Hours per Week 
(due to COVID-19)</t>
  </si>
  <si>
    <t>Type of Library</t>
  </si>
  <si>
    <t>Do you consider this to be part of your statutory service?</t>
  </si>
  <si>
    <r>
      <t xml:space="preserve">For definitions, </t>
    </r>
    <r>
      <rPr>
        <b/>
        <u/>
        <sz val="8"/>
        <color indexed="12"/>
        <rFont val="Verdana"/>
        <family val="2"/>
      </rPr>
      <t>click here</t>
    </r>
  </si>
  <si>
    <t>Statutory</t>
  </si>
  <si>
    <t>Non-Statutory</t>
  </si>
  <si>
    <t>(i)</t>
  </si>
  <si>
    <t>(ii)</t>
  </si>
  <si>
    <t>(iii)</t>
  </si>
  <si>
    <t>(iv)</t>
  </si>
  <si>
    <t>(v)</t>
  </si>
  <si>
    <t>(vi)</t>
  </si>
  <si>
    <t>(vii)</t>
  </si>
  <si>
    <t>(viii)</t>
  </si>
  <si>
    <t>r</t>
  </si>
  <si>
    <t xml:space="preserve">Note in the following questions, if you do not know the breakdown for the specific question i.e. number of adult and children fiction and non-fiction books, then please enter the total value in the first available cell and write cell 'X' in the remaining relevent cells. Where 'X' corresponds to the cell number with the data, please see an example in the guidance notes for when and how to do this. </t>
  </si>
  <si>
    <t xml:space="preserve">      Go to Guidance --&gt;</t>
  </si>
  <si>
    <t>Other than for lines 1 to 19, only include figures in this return from service points you have identified as being under your statutory control on the previous page.</t>
  </si>
  <si>
    <t>[NB. Information relating to numbers of Service Points and Opening Hours will be calculated from the 'Service Points' tab.]</t>
  </si>
  <si>
    <r>
      <t xml:space="preserve">To go to the 'Service Points' tab, </t>
    </r>
    <r>
      <rPr>
        <b/>
        <u/>
        <sz val="12"/>
        <color indexed="12"/>
        <rFont val="Verdana"/>
        <family val="2"/>
      </rPr>
      <t>click here</t>
    </r>
  </si>
  <si>
    <t>Number of Static Service Points Open (Scheduled Hours):</t>
  </si>
  <si>
    <t>Total</t>
  </si>
  <si>
    <t>60+ hours</t>
  </si>
  <si>
    <t>55 - 59 hours</t>
  </si>
  <si>
    <t>50 - 54 hours</t>
  </si>
  <si>
    <t>45 - 49 hours</t>
  </si>
  <si>
    <t>40 - 44 hours</t>
  </si>
  <si>
    <t>35 - 39 hours</t>
  </si>
  <si>
    <t>30 - 34 hours</t>
  </si>
  <si>
    <t>25 - 29 hours</t>
  </si>
  <si>
    <t>20 - 24 hours</t>
  </si>
  <si>
    <t>15 - 19 hours</t>
  </si>
  <si>
    <t>10 - 14 hours</t>
  </si>
  <si>
    <t>Mobile Libraries Open Over 10 hours</t>
  </si>
  <si>
    <t>Mobile Libraries Open Under 10 hours</t>
  </si>
  <si>
    <t>Static Libraries Open Under 10 hours</t>
  </si>
  <si>
    <t>Percentage of total scheduled opening hours per week staffed*</t>
  </si>
  <si>
    <t>*Calculated from the service points tab</t>
  </si>
  <si>
    <t>Percentage of total scheduled opening hours per week unstaffed*</t>
  </si>
  <si>
    <t>Number</t>
  </si>
  <si>
    <t>If you have any comments regarding libraries closing and opening, please specify below:</t>
  </si>
  <si>
    <t>(Please note that comments provided here are to be published in a separate word document alongside the final publication)</t>
  </si>
  <si>
    <t>If your statutory library provision is being provided by a third party, please give details below:</t>
  </si>
  <si>
    <t xml:space="preserve">(a) Name/Town </t>
  </si>
  <si>
    <t>(b) No. of issues per annum</t>
  </si>
  <si>
    <t>(b) No. of visits per annum</t>
  </si>
  <si>
    <t>Please give details of any planned or recent refurbishment of the library (spend over £50k) below:</t>
  </si>
  <si>
    <t>Total Number of Terminals for Public or Joint Use with Staff</t>
  </si>
  <si>
    <t>Number of Electronic Workstations</t>
  </si>
  <si>
    <t>Please refer to guidance notes for the following questions.</t>
  </si>
  <si>
    <t>[Please check that the figure submitted for number of hours recorded use is less than the number available hours]</t>
  </si>
  <si>
    <t>Memorandum</t>
  </si>
  <si>
    <t>Section 2 - Book Stock (excluding those for Agency Services)</t>
  </si>
  <si>
    <t xml:space="preserve">     Go to Guidance --&gt;</t>
  </si>
  <si>
    <t>Number of Volumes</t>
  </si>
  <si>
    <t>*Taken from last year's return, please overwrite if incorrect</t>
  </si>
  <si>
    <t>Reference Books (including Children's)</t>
  </si>
  <si>
    <t>Lending Stock (including on loan and available):</t>
  </si>
  <si>
    <t>- Adult Fiction</t>
  </si>
  <si>
    <t>- Adult Non-fiction</t>
  </si>
  <si>
    <t>- Children's Fiction</t>
  </si>
  <si>
    <t>- Children's Non-fiction</t>
  </si>
  <si>
    <t>Total Lending Stock</t>
  </si>
  <si>
    <t>Reserve Stock and Unallocated</t>
  </si>
  <si>
    <t>Book Acquisitions</t>
  </si>
  <si>
    <t>Stock for Loan:</t>
  </si>
  <si>
    <t>Section 3 - Audio, Visual &amp; Other Items (excluding those for Agency Services)</t>
  </si>
  <si>
    <t>Number of Items</t>
  </si>
  <si>
    <t xml:space="preserve">For Reference (CD-ROMs, Multi-media, Software, etc.) </t>
  </si>
  <si>
    <t>Sound Recordings - Adult Talking Books</t>
  </si>
  <si>
    <t>Sound Recordings - Children's Talking Books</t>
  </si>
  <si>
    <t>Music, Videos and DVDs &amp; Multi-media and Open Learning Packs (including language packs), CD-ROMs, Software etc.</t>
  </si>
  <si>
    <t xml:space="preserve">Sound Recordings - Adult Talking Books </t>
  </si>
  <si>
    <t xml:space="preserve">Sound Recordings - Children's Talking Books </t>
  </si>
  <si>
    <t>Music, Videos and DVDs, Multi-media and Open Learning Packs (including language packs), CD-ROMs, Software etc.</t>
  </si>
  <si>
    <t>Total Audio, Visual &amp; Other Acquisitions</t>
  </si>
  <si>
    <t>Section 4 - Electronic Items (excluding those for Agency Services).</t>
  </si>
  <si>
    <t>Electronic Products - eBooks (lending and reference)</t>
  </si>
  <si>
    <t>Electronic Products - eNewspapers, eMagazines, and eComics</t>
  </si>
  <si>
    <t>Electronic Products - eAudio and eAudiovisuals</t>
  </si>
  <si>
    <t>Electronic Products - Music Streaming</t>
  </si>
  <si>
    <t>Electronic Products - Film Streaming</t>
  </si>
  <si>
    <t>Electronic Products - Hardware</t>
  </si>
  <si>
    <t xml:space="preserve">               Go to Guidance --&gt;</t>
  </si>
  <si>
    <t>In Post</t>
  </si>
  <si>
    <t>(FTE to 1 decimal place)</t>
  </si>
  <si>
    <t>Professional Staff</t>
  </si>
  <si>
    <t>All Other Paid Staff</t>
  </si>
  <si>
    <t>Total Staff</t>
  </si>
  <si>
    <t>Section 6 - Volunteers</t>
  </si>
  <si>
    <t>Volunteers</t>
  </si>
  <si>
    <t>Section 7 - Annual Issues</t>
  </si>
  <si>
    <t>Book Issues</t>
  </si>
  <si>
    <t>Units</t>
  </si>
  <si>
    <t>Books - Adult Fiction</t>
  </si>
  <si>
    <t>Books - Adult Non-fiction</t>
  </si>
  <si>
    <t>Books - Children's Fiction</t>
  </si>
  <si>
    <t>Books - Children's Non-fiction</t>
  </si>
  <si>
    <t>Total Book Issues</t>
  </si>
  <si>
    <r>
      <t>Audio, Visual &amp; Other Issues</t>
    </r>
    <r>
      <rPr>
        <b/>
        <sz val="8"/>
        <rFont val="Verdana"/>
        <family val="2"/>
      </rPr>
      <t xml:space="preserve"> </t>
    </r>
  </si>
  <si>
    <t>Total Audio, Visual &amp; Other Issues</t>
  </si>
  <si>
    <t>Electronic Issues</t>
  </si>
  <si>
    <t>Section 8 - Request Service</t>
  </si>
  <si>
    <t>Number of requests for specific items (annual total)</t>
  </si>
  <si>
    <t>Number of requests of which are online/other electronic</t>
  </si>
  <si>
    <t>Book Request Service</t>
  </si>
  <si>
    <t>%</t>
  </si>
  <si>
    <t xml:space="preserve">Percentage of requested books supplied within 7 days </t>
  </si>
  <si>
    <t>(to nearest whole percent)</t>
  </si>
  <si>
    <t>Percentage of requested books supplied within 15 days</t>
  </si>
  <si>
    <t>Percentage of requested books supplied within 30 days</t>
  </si>
  <si>
    <t>Section 9 - Enquiries.</t>
  </si>
  <si>
    <t>Number of enquiries (annual total)</t>
  </si>
  <si>
    <t>Number of enquiries of which are online/other electronic</t>
  </si>
  <si>
    <t xml:space="preserve">Authorities may if they wish, base their figure for enquiries on a larger statistical sample than the one suggested by CIPFA.  Please </t>
  </si>
  <si>
    <t>select a category from those listed below which describes the method you have used (please select from drop down menu).</t>
  </si>
  <si>
    <t>(Please Select)</t>
  </si>
  <si>
    <t>Section 10 - Library Users</t>
  </si>
  <si>
    <t>Active Borrowers</t>
  </si>
  <si>
    <t>Housebound Readers</t>
  </si>
  <si>
    <t>Visits</t>
  </si>
  <si>
    <t>Number of Visits</t>
  </si>
  <si>
    <t>Number of physical visits to library premises for library purposes (annual total)</t>
  </si>
  <si>
    <t>Number of physical visits to library premises for non-library purposes (annual total)</t>
  </si>
  <si>
    <t xml:space="preserve">It will be necessary to estimate visits to library premises for non-library purposes for authorities who have multi-service outlets. It </t>
  </si>
  <si>
    <t>would be appreciated if authorities could enter '0' if they have no multi-service outlets and either make an estimate of non-library</t>
  </si>
  <si>
    <t>visits or enter '..' if there are such service points.</t>
  </si>
  <si>
    <t>Visits included in line 94 should not be included in line 95 above.</t>
  </si>
  <si>
    <t>Authorities may if they wish, base their figure for visits on a larger statistical sample than the one suggested by CIPFA. Please</t>
  </si>
  <si>
    <t>Number of service points with electronic counters</t>
  </si>
  <si>
    <t>Virtual Visits</t>
  </si>
  <si>
    <t>Section 11 - Inter Library Loans for the Year (excluding those for Agency Services)</t>
  </si>
  <si>
    <t>Inter Library Loans supplied to other libraries</t>
  </si>
  <si>
    <t>Inter Library Loans received from other libraries</t>
  </si>
  <si>
    <t>Section 12 - Financial Information (excluding Costs of Agency Services)</t>
  </si>
  <si>
    <t>PLEASE COMPLETE ON A NON IAS 19 ACCOUNTING BASIS</t>
  </si>
  <si>
    <t>NOTE: To include New Opportunities Fund</t>
  </si>
  <si>
    <t>£</t>
  </si>
  <si>
    <t>Employees</t>
  </si>
  <si>
    <t>Premises</t>
  </si>
  <si>
    <t>Supplies and Services:</t>
  </si>
  <si>
    <t>- Reference (including Children's)</t>
  </si>
  <si>
    <t>Newspapers, Periodicals and Magazines</t>
  </si>
  <si>
    <t>Online/Electronic (Internet etc.)</t>
  </si>
  <si>
    <t>Other Library Acquisitions (please specify)</t>
  </si>
  <si>
    <t>Bookbinding</t>
  </si>
  <si>
    <t>Total Expenditure on Materials</t>
  </si>
  <si>
    <t>Computing Costs (Non-Financial)</t>
  </si>
  <si>
    <t>Other Supplies and Services</t>
  </si>
  <si>
    <t>Transport</t>
  </si>
  <si>
    <t>Third Party Payments</t>
  </si>
  <si>
    <t>Support Services Costs (Not applicable in Northern Ireland)</t>
  </si>
  <si>
    <t xml:space="preserve">Other Expenditure (Estimates only - this should include Computing Costs, Other Supplies and Services, </t>
  </si>
  <si>
    <t>Transport, Third Party Payments and Support Services Costs)</t>
  </si>
  <si>
    <t>Total Revenue Expenditure</t>
  </si>
  <si>
    <t>Revenue Income</t>
  </si>
  <si>
    <t>Overdue Charges</t>
  </si>
  <si>
    <t>Reservation Fees</t>
  </si>
  <si>
    <t>Lettings</t>
  </si>
  <si>
    <t>Hire of Audio and Visual Materials</t>
  </si>
  <si>
    <t>Electronic Revenue</t>
  </si>
  <si>
    <t>Specific Grants</t>
  </si>
  <si>
    <t>Provision of Library Services to other Local Authorities</t>
  </si>
  <si>
    <t>Miscellaneous - Receipts from the Public (including photocopying)</t>
  </si>
  <si>
    <t>Miscellaneous - Corporate Income (please specify if significant)</t>
  </si>
  <si>
    <t>Total Revenue Income</t>
  </si>
  <si>
    <t>Net Expenditure</t>
  </si>
  <si>
    <r>
      <t xml:space="preserve">Capital Charges </t>
    </r>
    <r>
      <rPr>
        <sz val="8"/>
        <rFont val="Verdana"/>
        <family val="2"/>
      </rPr>
      <t>(not to be included in Net Expenditure)</t>
    </r>
  </si>
  <si>
    <r>
      <t>Section 13 - Supplementary Financial Information</t>
    </r>
    <r>
      <rPr>
        <sz val="9"/>
        <color indexed="9"/>
        <rFont val="Verdana"/>
        <family val="2"/>
      </rPr>
      <t xml:space="preserve"> </t>
    </r>
  </si>
  <si>
    <r>
      <t>Capital Expenditure</t>
    </r>
    <r>
      <rPr>
        <b/>
        <sz val="8"/>
        <rFont val="Verdana"/>
        <family val="2"/>
      </rPr>
      <t xml:space="preserve"> (excluding Agency Services)</t>
    </r>
  </si>
  <si>
    <t>New Buildings</t>
  </si>
  <si>
    <t>Refurbishment of Premises</t>
  </si>
  <si>
    <t>IT Investment, Networks etc.</t>
  </si>
  <si>
    <t>Books and Pamphlets</t>
  </si>
  <si>
    <t>Other Library Materials</t>
  </si>
  <si>
    <t>Other Capital Expenditure (please specify)</t>
  </si>
  <si>
    <t>Total Capital Expenditure</t>
  </si>
  <si>
    <t>Section 14 - Memorandum</t>
  </si>
  <si>
    <t>Electronic Issues - eBooks (lending and reference) - Adult Fiction</t>
  </si>
  <si>
    <t>Electronic Issues - eBooks (lending and reference) - Children's Fiction</t>
  </si>
  <si>
    <t>Electronic Issues - eBooks (lending and reference) - Children's Non-fiction</t>
  </si>
  <si>
    <t>Electronic Issues - eAudio and eAudiovisuals - Adult Fiction</t>
  </si>
  <si>
    <t>Electronic Issues - eAudio and eAudiovisuals - Adult Non-fiction</t>
  </si>
  <si>
    <t>Electronic Issues - eAudio and eAudiovisuals - Children's Fiction</t>
  </si>
  <si>
    <t>Electronic Issues - eAudio and eAudiovisuals - Children's Non-fiction</t>
  </si>
  <si>
    <t>If possible, please outline below your approach to collecting data on social media:</t>
  </si>
  <si>
    <t>Section 15 - Comments</t>
  </si>
  <si>
    <t>Provision of Library Services to Other Local Authorities</t>
  </si>
  <si>
    <t xml:space="preserve">In exactly the same way that Agency Services are excluded from the main body of the return, the answers to all questions in the </t>
  </si>
  <si>
    <t>survey form should wherever possible exclude details of services provided to other authorities.  Please use the space below to</t>
  </si>
  <si>
    <t>identify any special circumstances which apply.</t>
  </si>
  <si>
    <t>Other Libraries not included under Section 1</t>
  </si>
  <si>
    <t xml:space="preserve">This memorandum section is to show any other library that does not fit under the CIPFA definition of a service point. It is meant to </t>
  </si>
  <si>
    <t>show what additional benefits a library authority has to offer other than the traditional service point/services.</t>
  </si>
  <si>
    <t>Please note that any related statistics (i.e. visitor numbers, book issues etc.) are not to be included anywhere else</t>
  </si>
  <si>
    <t>in the CIPFA statistics.</t>
  </si>
  <si>
    <t>Please list number of local service points, partnerships or/and other libraries in the box provided below:</t>
  </si>
  <si>
    <t>Other Comments</t>
  </si>
  <si>
    <t>If you have any further comments or clarifications (such as on your reporting of loan/issue figures) please use the below space:</t>
  </si>
  <si>
    <t>General Notes of Guidance</t>
  </si>
  <si>
    <t>Please read through these notes carefully before completing the questionnaire.</t>
  </si>
  <si>
    <t>If after reading these notes there is any query about the completion of the questionnaire, please contact:</t>
  </si>
  <si>
    <t xml:space="preserve">Telephone: </t>
  </si>
  <si>
    <t>Data Analyst</t>
  </si>
  <si>
    <t xml:space="preserve">Email: </t>
  </si>
  <si>
    <t>In filling out the form please use the following conventions</t>
  </si>
  <si>
    <t>Denotes nil or not applicable</t>
  </si>
  <si>
    <t>Cell 'X'</t>
  </si>
  <si>
    <t xml:space="preserve">Denotes data relating to this cell are included in cell 'X' - where 'X' should be replaced with the cell number which includes the data.
An example of when this should be used ias as follows. If you know the total Adult bookstock but not the breakdown of fiction and non-fiction books. In this instance you would write the total number in the first cell which is Adult Fiction, and write Cell 62 in the Adult Non-Fiction cell. </t>
  </si>
  <si>
    <t>Denotes data not available</t>
  </si>
  <si>
    <t>Please do not use either NA or N/A, please see above conventions for valid method.</t>
  </si>
  <si>
    <t>Auto summation cells will not calculate if cells contain .. as this represent an unknown figure.</t>
  </si>
  <si>
    <t>Please do not leave any boxes blank</t>
  </si>
  <si>
    <t>Notes for the Questionnaire</t>
  </si>
  <si>
    <t>Numbers relate to the line number in the questionnaire</t>
  </si>
  <si>
    <r>
      <t>Section 1 - Service Points Open to the Public</t>
    </r>
    <r>
      <rPr>
        <b/>
        <sz val="8"/>
        <rFont val="Verdana"/>
        <family val="2"/>
      </rPr>
      <t xml:space="preserve"> - now collected in the 'Service Points' tab</t>
    </r>
  </si>
  <si>
    <t>Details of service points are requested in the 'Service Points' tab of the questionnaire.  This information will be used to calculate the number of Service Points by number of hours.</t>
  </si>
  <si>
    <t>Specifically the following notes of guidance apply:</t>
  </si>
  <si>
    <t>Mobile Libraries</t>
  </si>
  <si>
    <t>This should be the number of vehicles (mobiles or trailers) visited by library users and should exclude delivery vehicles.  Opening hours for mobile libraries are those when open for access by the public.  Please note that opening hours exclude travelling time to and between stops.</t>
  </si>
  <si>
    <t>Service Points</t>
  </si>
  <si>
    <t>A service point is any library, static or mobile, through which the public library authority provides or directly manages a service to the general public. A static service point must allow access to the general public (not just specific groups) and, as a minimum, provide a staffed (paid or unpaid) information point for some or all of the staffed opening hours, stock loan facilities and a public access terminal.  Departments within a single building should not be counted separately.  Central libraries and branch libraries are counted as separate service points.  Services to the general public from dual use libraries (which serve both the general public and educational establishments) should be included.</t>
  </si>
  <si>
    <t>Types of Library</t>
  </si>
  <si>
    <t>(cont.)</t>
  </si>
  <si>
    <t xml:space="preserve">The following typology has been put together by the Arts Council to describe the different approaches in involving communities to support or manage libraries.  All statutory libraries included in the 'Service Points' tab should be included in all lines of the questionnaire where relevant. </t>
  </si>
  <si>
    <r>
      <t xml:space="preserve">- Local Authority Run Library: </t>
    </r>
    <r>
      <rPr>
        <sz val="8"/>
        <rFont val="Verdana"/>
        <family val="2"/>
      </rPr>
      <t>These are funded and delivered by the public library authority.</t>
    </r>
  </si>
  <si>
    <r>
      <t xml:space="preserve">- Community Managed Co-Produced Library: </t>
    </r>
    <r>
      <rPr>
        <sz val="8"/>
        <rFont val="Verdana"/>
        <family val="2"/>
      </rPr>
      <t>These are community-led and largely community delivered, rarely with paid staff, but often with some form of ongoing Council support and often still part of the public library network.</t>
    </r>
  </si>
  <si>
    <r>
      <t xml:space="preserve">- Commissioned Community Co-Produced Library: </t>
    </r>
    <r>
      <rPr>
        <sz val="8"/>
        <rFont val="Verdana"/>
        <family val="2"/>
      </rPr>
      <t>These are commissioned and fully funded by the council but delivered by a not-for-private-profit community, social enterprise or mutual organisation, either existing or newly created.</t>
    </r>
  </si>
  <si>
    <r>
      <t>- Independent Library:</t>
    </r>
    <r>
      <rPr>
        <sz val="8"/>
        <rFont val="Verdana"/>
        <family val="2"/>
      </rPr>
      <t xml:space="preserve"> These do not have any local authority support.</t>
    </r>
  </si>
  <si>
    <t>Statutory Service</t>
  </si>
  <si>
    <t xml:space="preserve">Please identify whether or not you consider each library to be part of your statutory provision.  </t>
  </si>
  <si>
    <t>Please include both statutory and non-statutory libraries here. Temporary relocations should be excluded.</t>
  </si>
  <si>
    <t>Exclude temporary closures where the intention is to reopen.</t>
  </si>
  <si>
    <t>Only include transfers if the library has been transferred outside the CIPFA definition of service points.</t>
  </si>
  <si>
    <t>This includes libraries which have been relocated or have replaced a closed library as part of a new development. </t>
  </si>
  <si>
    <t>From here on, only include figures in this return from service points you have identified as being under your statutory control.</t>
  </si>
  <si>
    <t>Busiest Service Point</t>
  </si>
  <si>
    <t>Please note that the dropdown boxes for library name will auto-populate, using the information provided on the service points tab.  BUT this will only work if the contacts tab has been filled in, and the Authority name has been selected.</t>
  </si>
  <si>
    <t>Please include only terminals in public areas for public or joint use with staff, stand alone or portable PCs used entirely for user's own work with no use of the library's information sources are not included. Only devices with access to the internet, library catalogue and OPACs (online public access catalogues) should be included.  Each device counts as one whether used for one or more than one application.  Include all service points (including those open less than 10 hours per week) and mobile libraries. Include all workstations that would have met the above guidance if they had not been affected by COVID-19 lockdowns and social distancing measures.</t>
  </si>
  <si>
    <t>For each branch please calculate:</t>
  </si>
  <si>
    <t>- the number of scheduled library opening hours</t>
  </si>
  <si>
    <t>- the number of terminals at that branch (following guidance for line 24)</t>
  </si>
  <si>
    <t>Multiply the two to give ICT hours for that branch.</t>
  </si>
  <si>
    <r>
      <t xml:space="preserve">Repeat this process for each branch and then </t>
    </r>
    <r>
      <rPr>
        <b/>
        <u/>
        <sz val="8"/>
        <rFont val="Verdana"/>
        <family val="2"/>
      </rPr>
      <t>ADD</t>
    </r>
    <r>
      <rPr>
        <sz val="8"/>
        <rFont val="Verdana"/>
        <family val="2"/>
      </rPr>
      <t xml:space="preserve"> all of the total branch ICT hours to give an overall total for ICT hours in the authority. (Please note that multiplying the total number of scheduled library opening hours and the total number of terminals</t>
    </r>
    <r>
      <rPr>
        <b/>
        <sz val="8"/>
        <rFont val="Verdana"/>
        <family val="2"/>
      </rPr>
      <t xml:space="preserve"> DOES NOT</t>
    </r>
    <r>
      <rPr>
        <sz val="8"/>
        <rFont val="Verdana"/>
        <family val="2"/>
      </rPr>
      <t xml:space="preserve"> give the total for ICT hours).</t>
    </r>
  </si>
  <si>
    <t>This should be worked out by summing of the number of hours recorded use of public access terminals per year:</t>
  </si>
  <si>
    <t>- Manual bookings: total hours</t>
  </si>
  <si>
    <t>- Automated bookings: total hours</t>
  </si>
  <si>
    <t>- Casual use hours if available (otherwise indicate nil return OR not applicable in cases where all sessions must be booked, and the number of terminals to which this applies).</t>
  </si>
  <si>
    <t>Section 2 - Book Stock</t>
  </si>
  <si>
    <t>Books (hard cover and soft cover) are to be counted in volumes. Pamphlets (i.e. publications of less than 49 pages) should only be counted if they are catalogued and in units in which they are consulted or issued. Bound volumes of periodicals etc. issued or used as such should be counted as individual volumes as should sets of plays and sheet music when issued as a unit. The figures should exclude patents, trade catalogues, prints, single issues of periodicals and printed maps in separate sheets. Exclude printed volumes for services to educational establishments, prisons, hospitals etc. Record stock in the same manner as previous years, including keeping all of the stock in service points closed due to COVID-19 shown as available, instead of moving such stock to reserve stock.</t>
  </si>
  <si>
    <t>Reference Books</t>
  </si>
  <si>
    <t>Reference stocks will normally include Children's and Local Studies and reference books held in reserve stock.</t>
  </si>
  <si>
    <t>Lending Stock (including on loan and available)</t>
  </si>
  <si>
    <t>Please indicate the number of books in the lending stock.  Include those currently on loan and those available on open shelves i.e. exclude lending books in reserve, in Agency Services, in transit, set aside for binding or repair, in temporary stores or otherwise unavailable for the public.</t>
  </si>
  <si>
    <t>Gross additions to book stock during the year (excluding gifts).  The figures should not be adjusted for withdrawals or stock losses.</t>
  </si>
  <si>
    <t>Section 3 - Audio, Visual &amp; Other Items</t>
  </si>
  <si>
    <t>Lending Stock - Sound Recordings - Talking Books</t>
  </si>
  <si>
    <t>Multiple items (e.g. double cassettes, albums) are normally treated as one, then for the purposes of this questionnaire include them as one item.  Sound recordings should include all sound only media, including compact discs (CDs).</t>
  </si>
  <si>
    <t>Lending Stock - Music, Videos and DVDs, Multi-media and Open Learning Packs (including language packs), CD-ROMs, Software etc.</t>
  </si>
  <si>
    <t xml:space="preserve">Multiple items (e.g. double cassettes, albums) are normally treated as one, then for the purposes of this questionnaire include them as one item. Video recordings should include only items in VCR format.  Films and filmstrips should not be included. Multi-media open learning materials - include language courses, multi-media computer disks and multi-media CD-ROMS (text plus).  Include multi-media language courses (BBC, Linguaphone, etc.).  Include all items of computer software, CD-ROMs (text) apart from multi-media CD-ROMs (text plus) that are issued to users on or off the premises.  Exclude any items intended to be used over a network.  Exclude items principally for the use of staff for administration or acquisition purposes and CD-ROMs which are for reference only.  Do not include sound recordings on computer discs i.e. CDs, these should be included in Sound Recordings, either Talking Books or Music as appropriate.
</t>
  </si>
  <si>
    <t>Acquisitions</t>
  </si>
  <si>
    <t>Gross additions to stock during the year (excluding gifts).  The figures should not be adjusted for withdrawals or stock losses.</t>
  </si>
  <si>
    <t>Sound Recordings - Talking Books</t>
  </si>
  <si>
    <t>Multiple items (e.g. double cassettes/CDs, albums) are normally treated as one, then for the purposes of this questionnaire include them as one item.  Sound recordings should include all sound only media, including compact discs (CDs).  Exclude items which are not 'new' but replacement packs of two or more cassettes, which when complete are defined as one item.</t>
  </si>
  <si>
    <t>Multiple items (e.g. double cassettes/CDs/boxsets) are normally treated as one, so for the purposes of this questionnaire include them as one item.  Video recordings should include only items in VCR format.  Films and filmstrips should not be included.  Exclude items which are not 'new' but replacement packs of two or more cassettes, which when complete are defined as one item.  Count each title as one item, regardless of the number of components.  Multi-media open learning materials - include language courses, multi-media computer disks and multi-media CD-ROMS (text plus).  Include multi-media language courses (BBC, Linguaphone, etc.).  CD-ROMs, software etc.  Include all items of computer software, CD-ROMs (text) apart from multi-media CD-ROMs (text plus) that are issued to users on or off the premises.  Exclude any items intended to be used over a network.  Exclude items principally for the use of staff for administration or acquisition purposes and CD-ROMs which are for reference only.  Do not include sound recordings on computer discs i.e. CDs.</t>
  </si>
  <si>
    <t>Section 4 - Electronic Items</t>
  </si>
  <si>
    <r>
      <t xml:space="preserve">The total number of eBook </t>
    </r>
    <r>
      <rPr>
        <b/>
        <sz val="8"/>
        <rFont val="Verdana"/>
        <family val="2"/>
      </rPr>
      <t>publications</t>
    </r>
    <r>
      <rPr>
        <sz val="8"/>
        <rFont val="Verdana"/>
        <family val="2"/>
      </rPr>
      <t xml:space="preserve"> available for download either owned by your library authority or available through your subscription package(s).</t>
    </r>
  </si>
  <si>
    <r>
      <t xml:space="preserve">The total number of eNewspapers, eMagazines and eComic </t>
    </r>
    <r>
      <rPr>
        <b/>
        <sz val="8"/>
        <rFont val="Verdana"/>
        <family val="2"/>
      </rPr>
      <t>publications</t>
    </r>
    <r>
      <rPr>
        <sz val="8"/>
        <rFont val="Verdana"/>
        <family val="2"/>
      </rPr>
      <t xml:space="preserve"> available for download either owned by your library authority or available through your subscription package(s).</t>
    </r>
  </si>
  <si>
    <r>
      <t xml:space="preserve">The total number of eAudio and eAudiovisual </t>
    </r>
    <r>
      <rPr>
        <b/>
        <sz val="8"/>
        <rFont val="Verdana"/>
        <family val="2"/>
      </rPr>
      <t>publications</t>
    </r>
    <r>
      <rPr>
        <sz val="8"/>
        <rFont val="Verdana"/>
        <family val="2"/>
      </rPr>
      <t xml:space="preserve"> available for download either owned by your library authority or available through your subscription package(s).</t>
    </r>
  </si>
  <si>
    <t>The total number of songs available for download either owned by your local authority or available through your subscription package(s).</t>
  </si>
  <si>
    <t>The total number of films available for download either owned by your local authority or available through your subscription package(s).</t>
  </si>
  <si>
    <t>The total number of electronic items available for loan by the public. For example, Microbits and tablets.</t>
  </si>
  <si>
    <t>Section 5 - Numbers of Staff</t>
  </si>
  <si>
    <t>The number of posts for persons performing administrative, clerical and general duties plus the number of posts for persons who hold Library Certificates, or who are trainees (including supernumeraries).  Include also the number of posts for all other employees (e.g. bindery staff, porters, janitors etc.) but exclude staff employed by the DSO or other contractors.</t>
  </si>
  <si>
    <t>There exist a number of definitions of volunteers and volunteering, (for example those used by the Home Office Citizenship Survey, the DCMS Taking Part Survey and the Institute of Volunteering). Taking those into account, for the purposes of this indicator, a "volunteer" is any person who gives unpaid help or assistance to a library (as defined in the notes for section 1) by doing something which aims to benefit the organisation and its stakeholders, including involvement in management boards and other decision making groups. In the case of Friends' organisations, or similar groups, you should include only those members who give active support over and above being a member of that group. Work experience placements should also be included. Each individual should be counted only once. Do not exclude volunteers who have been unable to provide assistance because of the COVID-19 pandemic.</t>
  </si>
  <si>
    <t>Annual Issues</t>
  </si>
  <si>
    <t>Loans to final borrowers only are to be included.  For issues to institutions, playgroups etc. count only the initial issues made by the library staff or the computer system. Regarding the impact of the pandemic, such as pushing forward due dates for loans, please record your figures as best as you can using your library management system and add any important detail on how you have recorded your figures in the 'Other Comments' box at the bottom of the questionnaire.</t>
  </si>
  <si>
    <t>Include:</t>
  </si>
  <si>
    <t>Loans of uncatalogued material e.g. if a book is issued before a record is created then a notional issues transaction should be made when the book is subsequently catalogued and the record is made;</t>
  </si>
  <si>
    <t>All renewals made in response to an approach from a reader.  For mobile libraries, renewals should only be counted as issues if a reader comes and requests renewal;</t>
  </si>
  <si>
    <t>Inter library loans.  Direct loans to own end users only.</t>
  </si>
  <si>
    <t>Exclude:</t>
  </si>
  <si>
    <t>Issues from closed access stock for use on library premises;</t>
  </si>
  <si>
    <t>Non-borrowing open shelf use.</t>
  </si>
  <si>
    <t>Electronic Products</t>
  </si>
  <si>
    <t>The total number of eBooks (lending and reference) borrowed.</t>
  </si>
  <si>
    <t>The total number of eNewspaper, eMagazine and eComics borrowed.</t>
  </si>
  <si>
    <t>The total number of eAudio and eAudiovisuals borrowed.</t>
  </si>
  <si>
    <t>The total number of songs downloaded and accessed.</t>
  </si>
  <si>
    <t>The total number of films downloaded and accessed.</t>
  </si>
  <si>
    <t>The total number of electronic items issued. For example, Microbits and tablets.</t>
  </si>
  <si>
    <t>Number of requests for specific items</t>
  </si>
  <si>
    <t>This should cover the number of online requests made to the library service.  Examples should include online reservations of library stock items and other online requests.</t>
  </si>
  <si>
    <t>Percentage of requested Books supplied within 7, 15 and 30 days (including Inter-library loans)</t>
  </si>
  <si>
    <t>The following information is required to perform the calculation:</t>
  </si>
  <si>
    <t>Date requested, i.e. the date the request form was received from the reader.</t>
  </si>
  <si>
    <t>Date supplied, i.e. the date the reader was informed that the requested items were available.</t>
  </si>
  <si>
    <t>Supply times should be calculated on the basis of a 7 day week, i.e. a day means a chronological, not a working day.</t>
  </si>
  <si>
    <t>Section 9 - Enquiries</t>
  </si>
  <si>
    <t>Number of Enquiries</t>
  </si>
  <si>
    <t>The method used will be sampling for a week in October, used for the other sampling procedure.  All appropriate staff at all service points keep a record of the number of enquiries received.  The total for each service point/department is sent to headquarters to make a grand total for the authority for the week.</t>
  </si>
  <si>
    <t xml:space="preserve">PLEASE MULTIPLY THE TOTAL BY 50 TO OBTAIN AN ANNUAL AVERAGE TOTAL. </t>
  </si>
  <si>
    <t>If a library is open X weeks in the year then multiply the total by (50 minus X) to obtain the annual average total.</t>
  </si>
  <si>
    <t>Housebound readers are currently served by public libraries in a number of different ways, the number required is the TOTAL of the following groups:</t>
  </si>
  <si>
    <t>Number of clients visited at home during the year in question by library staff or volunteers. Count people visited for part of the year only. Do NOT give the number of visits. Include clients that libraries have delivered to by post because of the COVID-19 pandemic.</t>
  </si>
  <si>
    <t>Number of clients (e.g. blind or partially-sighted people) receiving a library service by post on a regular basis because they have a disability.  This might, for example, be an in house audio book service.  If clients receive 2 or more such services count the number of clients (i.e. eliminate overlap).</t>
  </si>
  <si>
    <t>Include visitors collecting packages through services such as click and collect, even if they do not physically enter the library premises.
Counting Methodology - electronic counters:
Ultimately, the method used to count visits is for authorities to determine although, for consistency and to improve the robustness of the data, a full year count is advisable, if possible by electronic counters.  Where this encompasses a multi-service point using electronic counters at a common entrance, some sampling will also be necessary to identify those visits that meet the definition above.  Sampling for this purpose and for those authorities that cannot undertake a full year count should be carried out in line with the sampling methodology below.</t>
  </si>
  <si>
    <r>
      <t xml:space="preserve">Sampling Methodology </t>
    </r>
    <r>
      <rPr>
        <sz val="8"/>
        <rFont val="Verdana"/>
        <family val="2"/>
      </rPr>
      <t xml:space="preserve">- please note that the weekly count should be multiplied by 50 for the yearly count (to take into account bank holidays etc.) If a library is open X weeks in the year then multiply by (50 minus X).
The method employed to obtain this information is sampling for a representative sampling period of one week between October and December as follows: </t>
    </r>
  </si>
  <si>
    <t>A sample week is selected;</t>
  </si>
  <si>
    <t xml:space="preserve">Data are collected for every relevant service point for one week.  In the cases where the schedule of a mobile library would make a one week sample unrepresentative, a longer sampling period is used and the grossing up factor correspondingly reduced; </t>
  </si>
  <si>
    <t>All library service points are included, whether staffed by the authority or otherwise.  Institutions and agency libraries are excluded;</t>
  </si>
  <si>
    <t>The total for each service point is sent to headquarters to make a grand total for the authority for the week.</t>
  </si>
  <si>
    <t>PLEASE MULTIPLY THE TOTAL BY 50 TO OBTAIN AN ANNUAL AVERAGE TOTAL.</t>
  </si>
  <si>
    <r>
      <rPr>
        <b/>
        <sz val="8"/>
        <rFont val="Verdana"/>
        <family val="2"/>
      </rPr>
      <t>Non-library visits (Multi-Service Outlets)</t>
    </r>
    <r>
      <rPr>
        <sz val="8"/>
        <rFont val="Verdana"/>
        <family val="2"/>
      </rPr>
      <t xml:space="preserve">
In recognition of the considerable efforts made by some authorities to position their libraries as community hubs, or to improve the popularity of their libraries, by co-locating them with other services, a separate count of non-library visits is to be made in the CIPFA statistics.  Therefore libraries should use this cell to show non-library visits using the widening range of activities offered by libraries (including visits for non-library purposes to a multi-service space).  This will not form part of the standards assessment but will inform the overall picture of usage.</t>
    </r>
  </si>
  <si>
    <t>A VISIT is defined as a session of activity/series of one or more PAGE IMPRESSIONS, served to one USER, to the library website (or relevant library-service-related directories of the authority website as defined by the authority).  A unique visitor is determined by the IP address or cookie.  The session is deemed to end when there is a lengthy gap of usage between successive PAGE IMPRESSIONS for that USER.  As an example of a 'lengthy gap' would be a gap of at least 30 minutes.  Count one visit per visitor session.</t>
  </si>
  <si>
    <t>Section 11 - Inter Library Loans for the Year</t>
  </si>
  <si>
    <t>Inter Library Loans</t>
  </si>
  <si>
    <t>Include here all issues and borrowings of either original material or photocopies whether made directly or through Regional Library Bureau, BLD etc.  Exclude issues made between service points within a single library system. Include sets of vocal and orchestral music and plays.</t>
  </si>
  <si>
    <t>General</t>
  </si>
  <si>
    <r>
      <t>For a more detailed explanation of where expenditure should be classified please refer to CIPFA's recommended standard subjective analysis in CIPFA's Service Expenditure Reporting Code of Practice for Local Authorities (S</t>
    </r>
    <r>
      <rPr>
        <b/>
        <i/>
        <sz val="8"/>
        <rFont val="Verdana"/>
        <family val="2"/>
      </rPr>
      <t>e</t>
    </r>
    <r>
      <rPr>
        <b/>
        <sz val="8"/>
        <rFont val="Verdana"/>
        <family val="2"/>
      </rPr>
      <t xml:space="preserve">RCOP).  It is important that all authorities give the same treatment to each item.  Expenditure (and Income) on Agency Services - Schools, Prisons, Hospitals, etc. should not be included here.  
</t>
    </r>
  </si>
  <si>
    <t>Please note that New Opportunity Funds should be included within this questionnaire.  NOF related expenditure should be shown under the relevant expenditure heading.  Income received from NOF should be included under Specific Grants.</t>
  </si>
  <si>
    <r>
      <t>THIS FORM MUST BE COMPLETED ON A NON IAS 19 BASIS.  Further guidance can be found in the CIPFA Service Expenditure Reporting Code of Practice for Local Authorities (S</t>
    </r>
    <r>
      <rPr>
        <b/>
        <i/>
        <sz val="8"/>
        <rFont val="Verdana"/>
        <family val="2"/>
      </rPr>
      <t>e</t>
    </r>
    <r>
      <rPr>
        <b/>
        <sz val="8"/>
        <rFont val="Verdana"/>
        <family val="2"/>
      </rPr>
      <t>RCOP).</t>
    </r>
  </si>
  <si>
    <t xml:space="preserve">Include all costs directly associated to the library buildings e.g. repairs and maintenance of buildings, fixed plant and grounds (including payments to contractors and DLO/DSO charges) fuel, lighting and cleaning materials, fixtures and fittings, rent and  rates etc.  Also include an apportionment of expenditure for the costs of shared operational buildings </t>
  </si>
  <si>
    <t>Material Acquisitions</t>
  </si>
  <si>
    <t>If electronic products are funded via a Consortium - divide the total Consortium spend by the number of participating authorities to provide an expenditure figure per authority.</t>
  </si>
  <si>
    <t>Other Library Acquisitions</t>
  </si>
  <si>
    <t>This is to include wages and purchases of supplies (where there is a separate bindery) and/or payments to contractors where the binding is put out to private firms.</t>
  </si>
  <si>
    <t xml:space="preserve">Include here the costs of using computers for non-financial matters, including the cost of maintaining the 'Book bank'.  This may take the form of a recharge from a central computer system or the running costs of the library's own systems etc.  </t>
  </si>
  <si>
    <t>Include here vehicle and direct vehicle costs, e.g. repairs and maintenance, petrol, oil, tyres and licences etc.  Where the authority operates a renewals and repairs fund for vehicles the contributions to the fund should be included but expenditure from the fund ignored.  Includes the cost of mobile libraries.</t>
  </si>
  <si>
    <t>The net cost of any aspect of the Public Library Service which has been contracted to an outside agency, except where the service being paid for relates to a type of expenditure, (e.g. bookbinding, repairs and maintenance etc.) then the payment should be recorded under the appropriate line of expenditure.</t>
  </si>
  <si>
    <t>Support Services Costs</t>
  </si>
  <si>
    <t>Overdue Charges and Reservation Fees</t>
  </si>
  <si>
    <t>Include the total income derived in the financial year from the charges for all library material derived from all customers.</t>
  </si>
  <si>
    <t>Include subscription income but exclude returnable deposits.</t>
  </si>
  <si>
    <t>Income from the public for the use of electronic services, e.g. Internet, OPAC and CD-ROM.</t>
  </si>
  <si>
    <t>Assistance by, for example, the government, in the form of cash or transfers of assets to the authority in aid of particular projects or aspects of the public library service.  Should include income received through New Opportunity Funds.</t>
  </si>
  <si>
    <t>Include only income received from other library authorities for providing specified library services on a contracted basis.</t>
  </si>
  <si>
    <t>Miscellaneous - Receipts from the Public</t>
  </si>
  <si>
    <t>Miscellaneous - Corporate Income</t>
  </si>
  <si>
    <t>All outside corporate revenue including recharges to other departments and authorities, where the latter is not accounted for in Agency Services.</t>
  </si>
  <si>
    <r>
      <t>Capital Charges</t>
    </r>
    <r>
      <rPr>
        <sz val="8"/>
        <rFont val="Verdana"/>
        <family val="2"/>
      </rPr>
      <t/>
    </r>
  </si>
  <si>
    <r>
      <t>Record capital charges, i.e. depreciation, loss on impairment of assets, credit for capital grants and revenue expenditure funded from capital by statute (RECS).  The previous element of notional interest should NOT be included within capital charges.  Further details are available in CIPFA's Service Expenditure Reporting Code of Practice for Local Authorities (S</t>
    </r>
    <r>
      <rPr>
        <i/>
        <sz val="8"/>
        <rFont val="Verdana"/>
        <family val="2"/>
      </rPr>
      <t>e</t>
    </r>
    <r>
      <rPr>
        <sz val="8"/>
        <rFont val="Verdana"/>
        <family val="2"/>
      </rPr>
      <t>RCOP).</t>
    </r>
  </si>
  <si>
    <t>Section 13 - Supplementary Financial Information</t>
  </si>
  <si>
    <t xml:space="preserve">In this context only alterations to immovable property are to be considered.  In accounting definitions the term 'Enhancements' may also be used.  This refers to expenditure to increase substantially the life of an asset and/or the extent of its use.  Benefits must last for a minimum of one year.  Examples of expenditure to be included are:  installation of central heating, double glazing or mezzanine flooring; enlarging facilities so that they are used by more people; major changes of use involving structural alterations and repairs; new types and ranges of shelving.  Items to be excluded include: decorating; replacing missing tiles or repairing windows; books, sound recordings, information sources and subscriptions; computer equipment and systems.  </t>
  </si>
  <si>
    <t>Other Libraries not included under 'Service Points' tab</t>
  </si>
  <si>
    <t>This memorandum section is to show any other library that does not fit under the CIPFA definition of a service point.  It is meant to show what additional benefits a library authority has to offer other than the traditional service point/services.  For example LAPS or Partnerships.</t>
  </si>
  <si>
    <t>LAPS - A local access point does not have to be staffed, and doesn't need a number of minimum number of opening hours, e.g. could be seasonal access points.  It should be open for any members of the public and have published, scheduled opening hours or a published method of access for anyone who wants to use it (e.g. collect key from X during hours of Y).  It should have local authority funding with a public Service Level Agreement.</t>
  </si>
  <si>
    <t>If joint provision with the authority is provided, the authority should have control over 50% of the input, and satisfy the notes under LAPS.</t>
  </si>
  <si>
    <t>If you have any queries about questions on this form please contact Will Gibby, Data Analyst at CIPFA (Tel: 020 7543 5683)</t>
  </si>
  <si>
    <r>
      <t xml:space="preserve">Please return your completed form via email to: </t>
    </r>
    <r>
      <rPr>
        <u/>
        <sz val="8"/>
        <color indexed="30"/>
        <rFont val="Verdana"/>
        <family val="2"/>
      </rPr>
      <t>libraries@cipfa.org</t>
    </r>
  </si>
  <si>
    <t>Edinburgh</t>
  </si>
  <si>
    <t>Central</t>
  </si>
  <si>
    <t>Date modified: 1 July 2022</t>
  </si>
  <si>
    <t>Lekan Odutola</t>
  </si>
  <si>
    <t>Estimated number of physical events in 2022-23</t>
  </si>
  <si>
    <t>Estimated number of attendees to physical events in 2022-23</t>
  </si>
  <si>
    <t>Estimated number of virtual events in 2022-23</t>
  </si>
  <si>
    <t>Estimated number of attendees to virtual events in 2022-23</t>
  </si>
  <si>
    <t>Lifelong Learning Strategy Officer</t>
  </si>
  <si>
    <t>Accounting Technician</t>
  </si>
  <si>
    <t xml:space="preserve">Ratho Library new build is due for completion October 2023 with opening date still to be confirmed.  
A new Library in Muirhouse is planned as part of the MacMillan Hub development which in addition to the library will include an arts centre, early years facility and employability and skills services.
</t>
  </si>
  <si>
    <t>Facebook - Record page views; Twitter - Record Followers</t>
  </si>
  <si>
    <t xml:space="preserve">Muirhouse and Ratho Libraries are in temporary locations and have reduced opening hours.  1 Mobile library is being used to provide a service from Ratho.  There is currently one mobile library delivering this service.   24.  During the early part of 2022/23 covid measures were still impacting on computer use in libraries.  During 2022/23 there was an upgrade of public computer provision part of this process was to reduce the number of desktops available to 186, 155 public computers with internet access and 31 opacs.  The full complement will be available when Muirhouse and Ratho Libraries reopen in their new permanant locations. 27.  Muirhouse and Ratho do not currently have wifi due to their temporary location. </t>
  </si>
  <si>
    <t>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</si>
</sst>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_);\(#,##0.0\)"/>
    <numFmt numFmtId="167" formatCode="#,##0_ ;\-#,##0\ "/>
    <numFmt numFmtId="168" formatCode="#,##0.0_ ;\-#,##0.0\ "/>
  </numFmts>
  <fonts count="82" x14ac:knownFonts="1">
    <font>
      <sz val="12"/>
      <name val="Arial"/>
    </font>
    <font>
      <sz val="10"/>
      <name val="Arial"/>
      <family val="2"/>
    </font>
    <font>
      <sz val="6"/>
      <color indexed="18"/>
      <name val="Verdana"/>
      <family val="2"/>
    </font>
    <font>
      <sz val="8"/>
      <color indexed="18"/>
      <name val="Verdana"/>
      <family val="2"/>
    </font>
    <font>
      <b/>
      <sz val="10"/>
      <color indexed="18"/>
      <name val="Verdana"/>
      <family val="2"/>
    </font>
    <font>
      <b/>
      <sz val="8"/>
      <name val="Verdana"/>
      <family val="2"/>
    </font>
    <font>
      <sz val="8"/>
      <name val="Verdana"/>
      <family val="2"/>
    </font>
    <font>
      <sz val="8"/>
      <color indexed="54"/>
      <name val="Verdana"/>
      <family val="2"/>
    </font>
    <font>
      <sz val="12"/>
      <name val="Arial"/>
      <family val="2"/>
    </font>
    <font>
      <sz val="8"/>
      <name val="Arial"/>
      <family val="2"/>
    </font>
    <font>
      <sz val="6"/>
      <name val="Verdana"/>
      <family val="2"/>
    </font>
    <font>
      <b/>
      <sz val="7"/>
      <name val="Verdana"/>
      <family val="2"/>
    </font>
    <font>
      <sz val="7"/>
      <color indexed="54"/>
      <name val="Verdana"/>
      <family val="2"/>
    </font>
    <font>
      <sz val="7"/>
      <name val="Verdana"/>
      <family val="2"/>
    </font>
    <font>
      <b/>
      <sz val="7"/>
      <color indexed="54"/>
      <name val="Verdana"/>
      <family val="2"/>
    </font>
    <font>
      <sz val="7"/>
      <color indexed="18"/>
      <name val="Verdana"/>
      <family val="2"/>
    </font>
    <font>
      <sz val="8"/>
      <color indexed="8"/>
      <name val="Verdana"/>
      <family val="2"/>
    </font>
    <font>
      <i/>
      <sz val="8"/>
      <color indexed="54"/>
      <name val="Verdana"/>
      <family val="2"/>
    </font>
    <font>
      <sz val="12"/>
      <name val="Verdana"/>
      <family val="2"/>
    </font>
    <font>
      <sz val="10"/>
      <name val="Verdana"/>
      <family val="2"/>
    </font>
    <font>
      <u/>
      <sz val="8"/>
      <color indexed="12"/>
      <name val="Verdana"/>
      <family val="2"/>
    </font>
    <font>
      <i/>
      <sz val="8"/>
      <name val="Verdana"/>
      <family val="2"/>
    </font>
    <font>
      <b/>
      <u/>
      <sz val="8"/>
      <name val="Verdana"/>
      <family val="2"/>
    </font>
    <font>
      <b/>
      <u/>
      <sz val="8"/>
      <color indexed="12"/>
      <name val="Verdana"/>
      <family val="2"/>
    </font>
    <font>
      <sz val="8"/>
      <color indexed="9"/>
      <name val="Verdana"/>
      <family val="2"/>
    </font>
    <font>
      <i/>
      <sz val="8"/>
      <color indexed="8"/>
      <name val="Verdana"/>
      <family val="2"/>
    </font>
    <font>
      <b/>
      <sz val="8"/>
      <color indexed="8"/>
      <name val="Verdana"/>
      <family val="2"/>
    </font>
    <font>
      <u/>
      <sz val="8"/>
      <name val="Verdana"/>
      <family val="2"/>
    </font>
    <font>
      <b/>
      <sz val="12"/>
      <name val="Verdana"/>
      <family val="2"/>
    </font>
    <font>
      <b/>
      <sz val="11"/>
      <name val="Verdana"/>
      <family val="2"/>
    </font>
    <font>
      <sz val="12"/>
      <color indexed="9"/>
      <name val="Verdana"/>
      <family val="2"/>
    </font>
    <font>
      <b/>
      <sz val="9"/>
      <color indexed="9"/>
      <name val="Verdana"/>
      <family val="2"/>
    </font>
    <font>
      <b/>
      <sz val="9"/>
      <name val="Verdana"/>
      <family val="2"/>
    </font>
    <font>
      <b/>
      <u/>
      <sz val="9"/>
      <name val="Verdana"/>
      <family val="2"/>
    </font>
    <font>
      <b/>
      <sz val="10"/>
      <name val="Verdana"/>
      <family val="2"/>
    </font>
    <font>
      <sz val="10"/>
      <color indexed="9"/>
      <name val="Verdana"/>
      <family val="2"/>
    </font>
    <font>
      <sz val="8"/>
      <color indexed="47"/>
      <name val="Verdana"/>
      <family val="2"/>
    </font>
    <font>
      <b/>
      <sz val="8"/>
      <color indexed="47"/>
      <name val="Verdana"/>
      <family val="2"/>
    </font>
    <font>
      <b/>
      <sz val="12"/>
      <color indexed="10"/>
      <name val="Verdana"/>
      <family val="2"/>
    </font>
    <font>
      <b/>
      <sz val="7"/>
      <color indexed="8"/>
      <name val="Verdana"/>
      <family val="2"/>
    </font>
    <font>
      <sz val="10"/>
      <color indexed="8"/>
      <name val="Verdana"/>
      <family val="2"/>
    </font>
    <font>
      <b/>
      <sz val="8"/>
      <color indexed="54"/>
      <name val="Verdana"/>
      <family val="2"/>
    </font>
    <font>
      <u/>
      <sz val="12"/>
      <color indexed="12"/>
      <name val="Verdana"/>
      <family val="2"/>
    </font>
    <font>
      <b/>
      <u/>
      <sz val="9"/>
      <color indexed="63"/>
      <name val="Verdana"/>
      <family val="2"/>
    </font>
    <font>
      <i/>
      <sz val="6"/>
      <name val="Verdana"/>
      <family val="2"/>
    </font>
    <font>
      <sz val="10"/>
      <color indexed="18"/>
      <name val="Verdana"/>
      <family val="2"/>
    </font>
    <font>
      <b/>
      <sz val="10"/>
      <color indexed="10"/>
      <name val="Verdana"/>
      <family val="2"/>
    </font>
    <font>
      <b/>
      <u/>
      <sz val="12"/>
      <name val="Verdana"/>
      <family val="2"/>
    </font>
    <font>
      <b/>
      <i/>
      <sz val="6"/>
      <name val="Verdana"/>
      <family val="2"/>
    </font>
    <font>
      <sz val="9"/>
      <color indexed="9"/>
      <name val="Verdana"/>
      <family val="2"/>
    </font>
    <font>
      <b/>
      <sz val="14"/>
      <name val="Verdana"/>
      <family val="2"/>
    </font>
    <font>
      <b/>
      <i/>
      <sz val="12"/>
      <name val="Verdana"/>
      <family val="2"/>
    </font>
    <font>
      <i/>
      <sz val="10"/>
      <name val="Verdana"/>
      <family val="2"/>
    </font>
    <font>
      <sz val="10"/>
      <color indexed="10"/>
      <name val="Verdana"/>
      <family val="2"/>
    </font>
    <font>
      <b/>
      <sz val="8"/>
      <color indexed="9"/>
      <name val="Verdana"/>
      <family val="2"/>
    </font>
    <font>
      <b/>
      <sz val="12"/>
      <color indexed="10"/>
      <name val="Wingdings 3"/>
      <family val="1"/>
      <charset val="2"/>
    </font>
    <font>
      <b/>
      <i/>
      <sz val="8"/>
      <name val="Verdana"/>
      <family val="2"/>
    </font>
    <font>
      <b/>
      <sz val="10"/>
      <color indexed="8"/>
      <name val="Verdana"/>
      <family val="2"/>
    </font>
    <font>
      <b/>
      <sz val="10"/>
      <color indexed="9"/>
      <name val="Verdana"/>
      <family val="2"/>
    </font>
    <font>
      <b/>
      <u/>
      <sz val="8"/>
      <color indexed="56"/>
      <name val="Verdana"/>
      <family val="2"/>
    </font>
    <font>
      <b/>
      <sz val="8"/>
      <color indexed="56"/>
      <name val="Verdana"/>
      <family val="2"/>
    </font>
    <font>
      <sz val="8"/>
      <color indexed="12"/>
      <name val="Verdana"/>
      <family val="2"/>
    </font>
    <font>
      <u/>
      <sz val="8"/>
      <color indexed="30"/>
      <name val="Verdana"/>
      <family val="2"/>
    </font>
    <font>
      <b/>
      <u/>
      <sz val="12"/>
      <color indexed="12"/>
      <name val="Verdana"/>
      <family val="2"/>
    </font>
    <font>
      <b/>
      <sz val="9.5"/>
      <color indexed="9"/>
      <name val="Verdana"/>
      <family val="2"/>
    </font>
    <font>
      <sz val="11"/>
      <color theme="1"/>
      <name val="Calibri"/>
      <family val="2"/>
      <scheme val="minor"/>
    </font>
    <font>
      <sz val="10"/>
      <color theme="0"/>
      <name val="Verdana"/>
      <family val="2"/>
    </font>
    <font>
      <b/>
      <sz val="8"/>
      <color rgb="FFFF0000"/>
      <name val="Verdana"/>
      <family val="2"/>
    </font>
    <font>
      <b/>
      <sz val="9"/>
      <color theme="0"/>
      <name val="Verdana"/>
      <family val="2"/>
    </font>
    <font>
      <i/>
      <sz val="8"/>
      <color rgb="FFFF0000"/>
      <name val="Verdana"/>
      <family val="2"/>
    </font>
    <font>
      <b/>
      <i/>
      <sz val="8"/>
      <color rgb="FFFF0000"/>
      <name val="Verdana"/>
      <family val="2"/>
    </font>
    <font>
      <sz val="8"/>
      <color rgb="FFFF0000"/>
      <name val="Verdana"/>
      <family val="2"/>
    </font>
    <font>
      <sz val="10"/>
      <color rgb="FFE9ECFF"/>
      <name val="Verdana"/>
      <family val="2"/>
    </font>
    <font>
      <b/>
      <sz val="8"/>
      <color rgb="FFE9ECFF"/>
      <name val="Verdana"/>
      <family val="2"/>
    </font>
    <font>
      <sz val="12"/>
      <name val="Arial"/>
      <family val="2"/>
    </font>
    <font>
      <b/>
      <sz val="10"/>
      <color rgb="FFFF0000"/>
      <name val="Wingdings 3"/>
      <family val="1"/>
      <charset val="2"/>
    </font>
    <font>
      <b/>
      <sz val="12"/>
      <color rgb="FFFF0000"/>
      <name val="Wingdings 3"/>
      <family val="1"/>
      <charset val="2"/>
    </font>
    <font>
      <sz val="8"/>
      <color theme="1"/>
      <name val="Verdana"/>
      <family val="2"/>
    </font>
    <font>
      <sz val="10"/>
      <color theme="1" tint="4.9989318521683403E-2"/>
      <name val="Verdana"/>
      <family val="2"/>
    </font>
    <font>
      <sz val="12"/>
      <color theme="0"/>
      <name val="Verdana"/>
      <family val="2"/>
    </font>
    <font>
      <b/>
      <sz val="8"/>
      <color theme="0"/>
      <name val="Verdana"/>
      <family val="2"/>
    </font>
    <font>
      <sz val="8"/>
      <color theme="9" tint="-0.249977111117893"/>
      <name val="Verdana"/>
      <family val="2"/>
    </font>
  </fonts>
  <fills count="13">
    <fill>
      <patternFill patternType="none"/>
    </fill>
    <fill>
      <patternFill patternType="gray125"/>
    </fill>
    <fill>
      <patternFill patternType="solid">
        <fgColor indexed="8"/>
        <bgColor indexed="64"/>
      </patternFill>
    </fill>
    <fill>
      <patternFill patternType="solid">
        <fgColor indexed="8"/>
        <bgColor indexed="22"/>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54"/>
        <bgColor indexed="64"/>
      </patternFill>
    </fill>
    <fill>
      <patternFill patternType="solid">
        <fgColor indexed="43"/>
        <bgColor indexed="22"/>
      </patternFill>
    </fill>
    <fill>
      <patternFill patternType="solid">
        <fgColor rgb="FFE9ECFF"/>
        <bgColor indexed="64"/>
      </patternFill>
    </fill>
    <fill>
      <patternFill patternType="solid">
        <fgColor theme="0"/>
        <bgColor indexed="64"/>
      </patternFill>
    </fill>
    <fill>
      <patternFill patternType="solid">
        <fgColor rgb="FFE9ECFF"/>
        <bgColor indexed="22"/>
      </patternFill>
    </fill>
    <fill>
      <patternFill patternType="solid">
        <fgColor theme="5" tint="0.59999389629810485"/>
        <bgColor indexed="64"/>
      </patternFill>
    </fill>
  </fills>
  <borders count="55">
    <border>
      <left/>
      <right/>
      <top/>
      <bottom/>
      <diagonal/>
    </border>
    <border>
      <left style="thin">
        <color indexed="54"/>
      </left>
      <right style="thin">
        <color indexed="54"/>
      </right>
      <top style="thin">
        <color indexed="54"/>
      </top>
      <bottom style="thin">
        <color indexed="54"/>
      </bottom>
      <diagonal/>
    </border>
    <border>
      <left/>
      <right style="medium">
        <color indexed="54"/>
      </right>
      <top/>
      <bottom/>
      <diagonal/>
    </border>
    <border>
      <left style="medium">
        <color indexed="54"/>
      </left>
      <right/>
      <top/>
      <bottom/>
      <diagonal/>
    </border>
    <border>
      <left style="thin">
        <color indexed="54"/>
      </left>
      <right style="thin">
        <color indexed="54"/>
      </right>
      <top/>
      <bottom/>
      <diagonal/>
    </border>
    <border>
      <left style="thin">
        <color indexed="54"/>
      </left>
      <right style="thin">
        <color indexed="54"/>
      </right>
      <top/>
      <bottom style="thin">
        <color indexed="54"/>
      </bottom>
      <diagonal/>
    </border>
    <border>
      <left style="medium">
        <color indexed="54"/>
      </left>
      <right/>
      <top/>
      <bottom style="medium">
        <color indexed="54"/>
      </bottom>
      <diagonal/>
    </border>
    <border>
      <left/>
      <right/>
      <top/>
      <bottom style="medium">
        <color indexed="54"/>
      </bottom>
      <diagonal/>
    </border>
    <border>
      <left/>
      <right style="medium">
        <color indexed="54"/>
      </right>
      <top/>
      <bottom style="medium">
        <color indexed="54"/>
      </bottom>
      <diagonal/>
    </border>
    <border>
      <left style="thin">
        <color indexed="54"/>
      </left>
      <right/>
      <top style="thin">
        <color indexed="54"/>
      </top>
      <bottom/>
      <diagonal/>
    </border>
    <border>
      <left/>
      <right/>
      <top style="thin">
        <color indexed="54"/>
      </top>
      <bottom/>
      <diagonal/>
    </border>
    <border>
      <left/>
      <right style="thin">
        <color indexed="54"/>
      </right>
      <top style="thin">
        <color indexed="54"/>
      </top>
      <bottom/>
      <diagonal/>
    </border>
    <border>
      <left style="thin">
        <color indexed="54"/>
      </left>
      <right/>
      <top/>
      <bottom/>
      <diagonal/>
    </border>
    <border>
      <left/>
      <right style="thin">
        <color indexed="54"/>
      </right>
      <top/>
      <bottom/>
      <diagonal/>
    </border>
    <border>
      <left style="thin">
        <color indexed="54"/>
      </left>
      <right/>
      <top/>
      <bottom style="thin">
        <color indexed="54"/>
      </bottom>
      <diagonal/>
    </border>
    <border>
      <left/>
      <right/>
      <top/>
      <bottom style="thin">
        <color indexed="54"/>
      </bottom>
      <diagonal/>
    </border>
    <border>
      <left/>
      <right style="thin">
        <color indexed="54"/>
      </right>
      <top/>
      <bottom style="thin">
        <color indexed="54"/>
      </bottom>
      <diagonal/>
    </border>
    <border>
      <left style="medium">
        <color indexed="54"/>
      </left>
      <right/>
      <top style="medium">
        <color indexed="54"/>
      </top>
      <bottom/>
      <diagonal/>
    </border>
    <border>
      <left/>
      <right/>
      <top style="medium">
        <color indexed="54"/>
      </top>
      <bottom/>
      <diagonal/>
    </border>
    <border>
      <left/>
      <right style="medium">
        <color indexed="54"/>
      </right>
      <top style="medium">
        <color indexed="54"/>
      </top>
      <bottom/>
      <diagonal/>
    </border>
    <border>
      <left style="thin">
        <color indexed="54"/>
      </left>
      <right style="thin">
        <color indexed="54"/>
      </right>
      <top style="thin">
        <color indexed="54"/>
      </top>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style="medium">
        <color indexed="54"/>
      </left>
      <right/>
      <top style="medium">
        <color indexed="54"/>
      </top>
      <bottom style="medium">
        <color indexed="54"/>
      </bottom>
      <diagonal/>
    </border>
    <border>
      <left/>
      <right/>
      <top style="medium">
        <color indexed="54"/>
      </top>
      <bottom style="medium">
        <color indexed="54"/>
      </bottom>
      <diagonal/>
    </border>
    <border>
      <left/>
      <right style="thin">
        <color indexed="54"/>
      </right>
      <top style="thin">
        <color indexed="54"/>
      </top>
      <bottom style="thin">
        <color indexed="54"/>
      </bottom>
      <diagonal/>
    </border>
    <border>
      <left style="medium">
        <color indexed="10"/>
      </left>
      <right/>
      <top/>
      <bottom/>
      <diagonal/>
    </border>
    <border>
      <left/>
      <right style="medium">
        <color indexed="10"/>
      </right>
      <top/>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right style="medium">
        <color indexed="54"/>
      </right>
      <top style="medium">
        <color indexed="54"/>
      </top>
      <bottom style="medium">
        <color indexed="54"/>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rgb="FF666699"/>
      </left>
      <right/>
      <top style="medium">
        <color rgb="FF666699"/>
      </top>
      <bottom/>
      <diagonal/>
    </border>
    <border>
      <left/>
      <right/>
      <top style="medium">
        <color rgb="FF666699"/>
      </top>
      <bottom/>
      <diagonal/>
    </border>
    <border>
      <left/>
      <right style="medium">
        <color rgb="FF666699"/>
      </right>
      <top style="medium">
        <color rgb="FF666699"/>
      </top>
      <bottom/>
      <diagonal/>
    </border>
    <border>
      <left style="medium">
        <color rgb="FF666699"/>
      </left>
      <right/>
      <top/>
      <bottom/>
      <diagonal/>
    </border>
    <border>
      <left/>
      <right style="medium">
        <color rgb="FF666699"/>
      </right>
      <top/>
      <bottom/>
      <diagonal/>
    </border>
    <border>
      <left style="medium">
        <color rgb="FF666699"/>
      </left>
      <right/>
      <top/>
      <bottom style="medium">
        <color rgb="FF666699"/>
      </bottom>
      <diagonal/>
    </border>
    <border>
      <left/>
      <right/>
      <top/>
      <bottom style="medium">
        <color rgb="FF666699"/>
      </bottom>
      <diagonal/>
    </border>
    <border>
      <left/>
      <right style="medium">
        <color rgb="FF666699"/>
      </right>
      <top/>
      <bottom style="medium">
        <color rgb="FF666699"/>
      </bottom>
      <diagonal/>
    </border>
    <border>
      <left/>
      <right/>
      <top style="medium">
        <color indexed="54"/>
      </top>
      <bottom style="medium">
        <color rgb="FF666699"/>
      </bottom>
      <diagonal/>
    </border>
    <border>
      <left style="medium">
        <color indexed="54"/>
      </left>
      <right/>
      <top style="medium">
        <color indexed="54"/>
      </top>
      <bottom style="medium">
        <color rgb="FF666699"/>
      </bottom>
      <diagonal/>
    </border>
    <border>
      <left/>
      <right/>
      <top style="medium">
        <color rgb="FF666699"/>
      </top>
      <bottom style="medium">
        <color indexed="54"/>
      </bottom>
      <diagonal/>
    </border>
    <border>
      <left style="thin">
        <color rgb="FF666699"/>
      </left>
      <right/>
      <top style="thin">
        <color rgb="FF666699"/>
      </top>
      <bottom/>
      <diagonal/>
    </border>
    <border>
      <left/>
      <right/>
      <top style="thin">
        <color rgb="FF666699"/>
      </top>
      <bottom/>
      <diagonal/>
    </border>
    <border>
      <left/>
      <right style="thin">
        <color rgb="FF666699"/>
      </right>
      <top style="thin">
        <color rgb="FF666699"/>
      </top>
      <bottom/>
      <diagonal/>
    </border>
    <border>
      <left style="thin">
        <color rgb="FF666699"/>
      </left>
      <right/>
      <top/>
      <bottom/>
      <diagonal/>
    </border>
    <border>
      <left/>
      <right style="thin">
        <color rgb="FF666699"/>
      </right>
      <top/>
      <bottom/>
      <diagonal/>
    </border>
    <border>
      <left style="thin">
        <color rgb="FF666699"/>
      </left>
      <right/>
      <top/>
      <bottom style="thin">
        <color rgb="FF666699"/>
      </bottom>
      <diagonal/>
    </border>
    <border>
      <left/>
      <right/>
      <top/>
      <bottom style="thin">
        <color rgb="FF666699"/>
      </bottom>
      <diagonal/>
    </border>
    <border>
      <left/>
      <right style="thin">
        <color rgb="FF666699"/>
      </right>
      <top/>
      <bottom style="thin">
        <color rgb="FF666699"/>
      </bottom>
      <diagonal/>
    </border>
    <border>
      <left style="medium">
        <color indexed="54"/>
      </left>
      <right/>
      <top style="medium">
        <color rgb="FF666699"/>
      </top>
      <bottom style="medium">
        <color indexed="54"/>
      </bottom>
      <diagonal/>
    </border>
  </borders>
  <cellStyleXfs count="7">
    <xf numFmtId="0" fontId="0" fillId="0" borderId="0"/>
    <xf numFmtId="0" fontId="1" fillId="0" borderId="0"/>
    <xf numFmtId="0" fontId="20" fillId="0" borderId="0" applyNumberFormat="0" applyFill="0" applyBorder="0" applyAlignment="0" applyProtection="0">
      <alignment vertical="top"/>
      <protection locked="0"/>
    </xf>
    <xf numFmtId="0" fontId="65" fillId="0" borderId="0"/>
    <xf numFmtId="0" fontId="8" fillId="0" borderId="0"/>
    <xf numFmtId="9" fontId="74" fillId="0" borderId="0" applyFont="0" applyFill="0" applyBorder="0" applyAlignment="0" applyProtection="0"/>
    <xf numFmtId="0" fontId="8" fillId="0" borderId="0"/>
  </cellStyleXfs>
  <cellXfs count="558">
    <xf numFmtId="0" fontId="0" fillId="0" borderId="0" xfId="0"/>
    <xf numFmtId="0" fontId="2"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left" vertical="center"/>
    </xf>
    <xf numFmtId="164" fontId="7" fillId="2" borderId="0" xfId="0" applyNumberFormat="1" applyFont="1" applyFill="1" applyAlignment="1" applyProtection="1">
      <alignment horizontal="right" vertical="center"/>
      <protection hidden="1"/>
    </xf>
    <xf numFmtId="0" fontId="6" fillId="2" borderId="0" xfId="0" applyFont="1" applyFill="1" applyAlignment="1">
      <alignment horizontal="left" vertical="top"/>
    </xf>
    <xf numFmtId="0" fontId="6" fillId="3" borderId="0" xfId="0" applyFont="1" applyFill="1"/>
    <xf numFmtId="0" fontId="6" fillId="3" borderId="0" xfId="0" applyFont="1" applyFill="1" applyAlignment="1">
      <alignment horizontal="left"/>
    </xf>
    <xf numFmtId="0" fontId="11" fillId="2" borderId="0" xfId="0" applyFont="1" applyFill="1" applyAlignment="1">
      <alignment horizontal="center" vertical="center"/>
    </xf>
    <xf numFmtId="49" fontId="12" fillId="2" borderId="0" xfId="0" applyNumberFormat="1" applyFont="1" applyFill="1" applyAlignment="1">
      <alignment horizontal="right" vertical="center"/>
    </xf>
    <xf numFmtId="49" fontId="6" fillId="2" borderId="0" xfId="0" applyNumberFormat="1" applyFont="1" applyFill="1" applyAlignment="1">
      <alignment vertical="center"/>
    </xf>
    <xf numFmtId="0" fontId="14" fillId="2" borderId="0" xfId="0" applyFont="1" applyFill="1" applyAlignment="1">
      <alignment horizontal="right" vertical="center"/>
    </xf>
    <xf numFmtId="0" fontId="13" fillId="2" borderId="0" xfId="0" applyFont="1" applyFill="1" applyAlignment="1">
      <alignment horizontal="centerContinuous"/>
    </xf>
    <xf numFmtId="0" fontId="13" fillId="2" borderId="0" xfId="0" applyFont="1" applyFill="1" applyAlignment="1">
      <alignment vertical="center"/>
    </xf>
    <xf numFmtId="166" fontId="7" fillId="2" borderId="0" xfId="0" applyNumberFormat="1" applyFont="1" applyFill="1" applyAlignment="1" applyProtection="1">
      <alignment horizontal="right" vertical="center"/>
      <protection hidden="1"/>
    </xf>
    <xf numFmtId="0" fontId="6" fillId="2" borderId="0" xfId="0" applyFont="1" applyFill="1"/>
    <xf numFmtId="166" fontId="6" fillId="2" borderId="0" xfId="0" applyNumberFormat="1" applyFont="1" applyFill="1" applyAlignment="1">
      <alignment horizontal="right" vertical="center"/>
    </xf>
    <xf numFmtId="0" fontId="6" fillId="2" borderId="0" xfId="0" applyFont="1" applyFill="1" applyAlignment="1">
      <alignment horizontal="left" vertical="center" indent="1"/>
    </xf>
    <xf numFmtId="49" fontId="6" fillId="2" borderId="0" xfId="0" applyNumberFormat="1" applyFont="1" applyFill="1" applyAlignment="1">
      <alignment horizontal="left" vertical="center" indent="1"/>
    </xf>
    <xf numFmtId="37" fontId="6" fillId="2" borderId="0" xfId="0" applyNumberFormat="1" applyFont="1" applyFill="1" applyAlignment="1">
      <alignment horizontal="right" vertical="center"/>
    </xf>
    <xf numFmtId="0" fontId="5" fillId="2" borderId="0" xfId="0" applyFont="1" applyFill="1" applyAlignment="1">
      <alignment vertical="center"/>
    </xf>
    <xf numFmtId="0" fontId="13" fillId="2" borderId="0" xfId="0" applyFont="1" applyFill="1" applyAlignment="1">
      <alignment horizontal="right" vertical="center"/>
    </xf>
    <xf numFmtId="49" fontId="6" fillId="2" borderId="0" xfId="0" applyNumberFormat="1" applyFont="1" applyFill="1" applyAlignment="1">
      <alignment horizontal="left" vertical="center" indent="2"/>
    </xf>
    <xf numFmtId="0" fontId="10" fillId="2" borderId="0" xfId="0" applyFont="1" applyFill="1" applyAlignment="1">
      <alignment horizontal="left" vertical="center"/>
    </xf>
    <xf numFmtId="0" fontId="2" fillId="2" borderId="0" xfId="0" applyFont="1" applyFill="1" applyAlignment="1">
      <alignment horizontal="left"/>
    </xf>
    <xf numFmtId="49" fontId="12" fillId="2" borderId="0" xfId="0" applyNumberFormat="1" applyFont="1" applyFill="1" applyAlignment="1">
      <alignment horizontal="right"/>
    </xf>
    <xf numFmtId="0" fontId="3" fillId="2" borderId="0" xfId="0" applyFont="1" applyFill="1" applyAlignment="1">
      <alignment vertical="center"/>
    </xf>
    <xf numFmtId="165" fontId="6" fillId="2" borderId="0" xfId="0" applyNumberFormat="1" applyFont="1" applyFill="1" applyAlignment="1">
      <alignment horizontal="center" vertical="center"/>
    </xf>
    <xf numFmtId="0" fontId="6" fillId="2" borderId="0" xfId="0" applyFont="1" applyFill="1" applyAlignment="1">
      <alignment horizontal="left" vertical="top" wrapText="1"/>
    </xf>
    <xf numFmtId="0" fontId="6" fillId="2" borderId="0" xfId="0" applyFont="1" applyFill="1" applyAlignment="1">
      <alignment horizontal="justify" vertical="center" wrapText="1"/>
    </xf>
    <xf numFmtId="0" fontId="6" fillId="2" borderId="0" xfId="0" applyFont="1" applyFill="1" applyAlignment="1">
      <alignment vertical="top"/>
    </xf>
    <xf numFmtId="0" fontId="6" fillId="3" borderId="0" xfId="0" applyFont="1" applyFill="1" applyAlignment="1">
      <alignment horizontal="right"/>
    </xf>
    <xf numFmtId="0" fontId="6" fillId="2" borderId="0" xfId="0" applyFont="1" applyFill="1" applyAlignment="1">
      <alignment horizontal="right" vertical="center"/>
    </xf>
    <xf numFmtId="49" fontId="6" fillId="2" borderId="0" xfId="0" applyNumberFormat="1" applyFont="1" applyFill="1" applyAlignment="1">
      <alignment horizontal="center" vertical="center"/>
    </xf>
    <xf numFmtId="0" fontId="6" fillId="2" borderId="0" xfId="0" applyFont="1" applyFill="1" applyAlignment="1">
      <alignment horizontal="left" vertical="center" indent="2"/>
    </xf>
    <xf numFmtId="1" fontId="12" fillId="2" borderId="0" xfId="0" applyNumberFormat="1" applyFont="1" applyFill="1" applyAlignment="1">
      <alignment horizontal="right" vertical="center"/>
    </xf>
    <xf numFmtId="0" fontId="14" fillId="2" borderId="0" xfId="0" quotePrefix="1" applyFont="1" applyFill="1" applyAlignment="1">
      <alignment horizontal="right" vertical="center"/>
    </xf>
    <xf numFmtId="0" fontId="19" fillId="2" borderId="0" xfId="0" applyFont="1" applyFill="1" applyAlignment="1">
      <alignment horizontal="left" vertical="center"/>
    </xf>
    <xf numFmtId="0" fontId="6" fillId="2" borderId="0" xfId="0" quotePrefix="1" applyFont="1" applyFill="1" applyAlignment="1">
      <alignment horizontal="left" vertical="top"/>
    </xf>
    <xf numFmtId="0" fontId="6" fillId="2" borderId="0" xfId="0" applyFont="1" applyFill="1" applyAlignment="1">
      <alignment horizontal="left" vertical="center" wrapText="1"/>
    </xf>
    <xf numFmtId="0" fontId="5" fillId="2" borderId="0" xfId="0" applyFont="1" applyFill="1" applyAlignment="1">
      <alignment horizontal="left" vertical="center" wrapText="1"/>
    </xf>
    <xf numFmtId="0" fontId="22" fillId="2" borderId="0" xfId="0" applyFont="1" applyFill="1" applyAlignment="1">
      <alignment vertical="center"/>
    </xf>
    <xf numFmtId="166" fontId="6" fillId="4" borderId="1" xfId="0" applyNumberFormat="1" applyFont="1" applyFill="1" applyBorder="1" applyAlignment="1" applyProtection="1">
      <alignment horizontal="center"/>
      <protection locked="0" hidden="1"/>
    </xf>
    <xf numFmtId="37" fontId="5" fillId="2" borderId="0" xfId="0" applyNumberFormat="1" applyFont="1" applyFill="1" applyAlignment="1">
      <alignment horizontal="center" vertical="center"/>
    </xf>
    <xf numFmtId="0" fontId="16" fillId="2" borderId="0" xfId="0" applyFont="1" applyFill="1" applyAlignment="1">
      <alignment horizontal="center" vertical="center"/>
    </xf>
    <xf numFmtId="0" fontId="29" fillId="0" borderId="0" xfId="0" applyFont="1" applyAlignment="1">
      <alignment horizontal="center"/>
    </xf>
    <xf numFmtId="0" fontId="18" fillId="0" borderId="0" xfId="0" applyFont="1" applyAlignment="1">
      <alignment horizontal="center"/>
    </xf>
    <xf numFmtId="0" fontId="30" fillId="0" borderId="0" xfId="0" applyFont="1"/>
    <xf numFmtId="0" fontId="30" fillId="0" borderId="0" xfId="0" applyFont="1" applyAlignment="1">
      <alignment horizontal="center"/>
    </xf>
    <xf numFmtId="0" fontId="18" fillId="2" borderId="0" xfId="0" applyFont="1" applyFill="1"/>
    <xf numFmtId="0" fontId="18" fillId="0" borderId="0" xfId="0" applyFont="1"/>
    <xf numFmtId="0" fontId="19" fillId="0" borderId="0" xfId="0" applyFont="1"/>
    <xf numFmtId="0" fontId="19" fillId="2" borderId="3" xfId="0" applyFont="1" applyFill="1" applyBorder="1"/>
    <xf numFmtId="0" fontId="19" fillId="2" borderId="0" xfId="0" applyFont="1" applyFill="1"/>
    <xf numFmtId="0" fontId="19" fillId="2" borderId="2" xfId="0" applyFont="1" applyFill="1" applyBorder="1"/>
    <xf numFmtId="0" fontId="32" fillId="2" borderId="0" xfId="0" applyFont="1" applyFill="1" applyAlignment="1">
      <alignment horizontal="center" vertical="center" wrapText="1"/>
    </xf>
    <xf numFmtId="0" fontId="32" fillId="2" borderId="2" xfId="0" applyFont="1" applyFill="1" applyBorder="1" applyAlignment="1">
      <alignment horizontal="center" vertical="center" wrapText="1"/>
    </xf>
    <xf numFmtId="0" fontId="39" fillId="2" borderId="2" xfId="0" applyFont="1" applyFill="1" applyBorder="1" applyAlignment="1">
      <alignment horizontal="center" wrapText="1"/>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5" xfId="0" applyFont="1" applyFill="1" applyBorder="1" applyAlignment="1">
      <alignment horizontal="left" indent="1"/>
    </xf>
    <xf numFmtId="0" fontId="19" fillId="2" borderId="6" xfId="0" applyFont="1" applyFill="1" applyBorder="1"/>
    <xf numFmtId="0" fontId="19" fillId="2" borderId="7" xfId="0" applyFont="1" applyFill="1" applyBorder="1"/>
    <xf numFmtId="0" fontId="40" fillId="2" borderId="8" xfId="0" applyFont="1" applyFill="1" applyBorder="1"/>
    <xf numFmtId="0" fontId="29" fillId="0" borderId="0" xfId="0" applyFont="1" applyAlignment="1">
      <alignment horizontal="center" vertical="center"/>
    </xf>
    <xf numFmtId="0" fontId="19" fillId="2" borderId="0" xfId="0" applyFont="1" applyFill="1" applyAlignment="1">
      <alignment horizontal="centerContinuous"/>
    </xf>
    <xf numFmtId="0" fontId="19" fillId="2" borderId="0" xfId="0" applyFont="1" applyFill="1" applyAlignment="1">
      <alignment vertical="center"/>
    </xf>
    <xf numFmtId="49" fontId="7" fillId="2" borderId="0" xfId="0" applyNumberFormat="1" applyFont="1" applyFill="1" applyAlignment="1">
      <alignment horizontal="right" vertical="center"/>
    </xf>
    <xf numFmtId="0" fontId="32" fillId="2" borderId="0" xfId="0" applyFont="1" applyFill="1" applyAlignment="1">
      <alignment horizontal="center"/>
    </xf>
    <xf numFmtId="0" fontId="4" fillId="2" borderId="0" xfId="0" applyFont="1" applyFill="1" applyAlignment="1">
      <alignment horizontal="center"/>
    </xf>
    <xf numFmtId="0" fontId="32" fillId="2" borderId="0" xfId="0" applyFont="1" applyFill="1" applyAlignment="1">
      <alignment vertical="center" wrapText="1"/>
    </xf>
    <xf numFmtId="0" fontId="5" fillId="2" borderId="0" xfId="0" applyFont="1" applyFill="1" applyAlignment="1">
      <alignment horizontal="center" vertical="center"/>
    </xf>
    <xf numFmtId="0" fontId="43" fillId="2" borderId="0" xfId="0" applyFont="1" applyFill="1" applyAlignment="1">
      <alignment vertical="center"/>
    </xf>
    <xf numFmtId="0" fontId="18" fillId="2" borderId="0" xfId="0" applyFont="1" applyFill="1" applyAlignment="1">
      <alignment vertical="center"/>
    </xf>
    <xf numFmtId="49" fontId="19" fillId="2" borderId="0" xfId="0" applyNumberFormat="1" applyFont="1" applyFill="1" applyAlignment="1">
      <alignment vertical="center"/>
    </xf>
    <xf numFmtId="0" fontId="19" fillId="2" borderId="0" xfId="0" applyFont="1" applyFill="1" applyAlignment="1" applyProtection="1">
      <alignment vertical="center"/>
      <protection hidden="1"/>
    </xf>
    <xf numFmtId="0" fontId="44" fillId="2" borderId="0" xfId="0" applyFont="1" applyFill="1" applyAlignment="1">
      <alignment horizontal="center"/>
    </xf>
    <xf numFmtId="0" fontId="41" fillId="2" borderId="0" xfId="0" applyFont="1" applyFill="1" applyAlignment="1">
      <alignment horizontal="right" vertical="center"/>
    </xf>
    <xf numFmtId="0" fontId="32" fillId="2" borderId="0" xfId="0" applyFont="1" applyFill="1" applyAlignment="1">
      <alignment vertical="center"/>
    </xf>
    <xf numFmtId="0" fontId="34" fillId="2" borderId="0" xfId="0" applyFont="1" applyFill="1"/>
    <xf numFmtId="0" fontId="41" fillId="2" borderId="0" xfId="0" applyFont="1" applyFill="1" applyAlignment="1">
      <alignment horizontal="center" vertical="center"/>
    </xf>
    <xf numFmtId="0" fontId="45" fillId="2" borderId="0" xfId="0" applyFont="1" applyFill="1" applyAlignment="1">
      <alignment vertical="center"/>
    </xf>
    <xf numFmtId="0" fontId="7" fillId="2" borderId="0" xfId="0" applyFont="1" applyFill="1" applyAlignment="1">
      <alignment vertical="center"/>
    </xf>
    <xf numFmtId="0" fontId="5" fillId="2" borderId="0" xfId="0" applyFont="1" applyFill="1" applyAlignment="1">
      <alignment horizontal="centerContinuous" vertical="top"/>
    </xf>
    <xf numFmtId="49" fontId="5" fillId="2" borderId="0" xfId="0" applyNumberFormat="1" applyFont="1" applyFill="1" applyAlignment="1">
      <alignment horizontal="right" vertical="center"/>
    </xf>
    <xf numFmtId="0" fontId="33" fillId="2" borderId="0" xfId="0" applyFont="1" applyFill="1" applyAlignment="1">
      <alignment vertical="center"/>
    </xf>
    <xf numFmtId="0" fontId="44" fillId="2" borderId="0" xfId="0" applyFont="1" applyFill="1" applyAlignment="1">
      <alignment horizontal="left"/>
    </xf>
    <xf numFmtId="0" fontId="22" fillId="2" borderId="0" xfId="0" quotePrefix="1" applyFont="1" applyFill="1" applyAlignment="1">
      <alignment horizontal="left" vertical="center"/>
    </xf>
    <xf numFmtId="0" fontId="48" fillId="2" borderId="0" xfId="0" applyFont="1" applyFill="1" applyAlignment="1">
      <alignment horizontal="left" vertical="center"/>
    </xf>
    <xf numFmtId="0" fontId="44" fillId="2" borderId="0" xfId="0" applyFont="1" applyFill="1" applyAlignment="1">
      <alignment horizontal="left" vertical="center"/>
    </xf>
    <xf numFmtId="0" fontId="28" fillId="2" borderId="0" xfId="0" applyFont="1" applyFill="1" applyAlignment="1">
      <alignment horizontal="right" vertical="center"/>
    </xf>
    <xf numFmtId="0" fontId="22" fillId="2" borderId="0" xfId="0" applyFont="1" applyFill="1"/>
    <xf numFmtId="0" fontId="18" fillId="2" borderId="0" xfId="0" applyFont="1" applyFill="1" applyAlignment="1">
      <alignment horizontal="left" vertical="center"/>
    </xf>
    <xf numFmtId="0" fontId="28" fillId="0" borderId="0" xfId="0" applyFont="1" applyAlignment="1">
      <alignment horizontal="center"/>
    </xf>
    <xf numFmtId="0" fontId="18" fillId="0" borderId="0" xfId="0" applyFont="1" applyAlignment="1">
      <alignment vertical="center"/>
    </xf>
    <xf numFmtId="1" fontId="50" fillId="0" borderId="0" xfId="0" applyNumberFormat="1" applyFont="1" applyAlignment="1">
      <alignment horizontal="center" vertical="center"/>
    </xf>
    <xf numFmtId="0" fontId="50" fillId="0" borderId="0" xfId="0" applyFont="1" applyAlignment="1">
      <alignment vertical="center"/>
    </xf>
    <xf numFmtId="0" fontId="50" fillId="0" borderId="0" xfId="0" applyFont="1"/>
    <xf numFmtId="0" fontId="51" fillId="0" borderId="0" xfId="0" applyFont="1"/>
    <xf numFmtId="0" fontId="52" fillId="0" borderId="0" xfId="0" applyFont="1"/>
    <xf numFmtId="0" fontId="35" fillId="0" borderId="0" xfId="0" applyFont="1"/>
    <xf numFmtId="0" fontId="53" fillId="0" borderId="0" xfId="0" applyFont="1"/>
    <xf numFmtId="0" fontId="5" fillId="0" borderId="0" xfId="0" applyFont="1" applyAlignment="1">
      <alignment horizontal="center"/>
    </xf>
    <xf numFmtId="166" fontId="6" fillId="4" borderId="1" xfId="0" applyNumberFormat="1" applyFont="1" applyFill="1" applyBorder="1" applyAlignment="1" applyProtection="1">
      <alignment horizontal="center" wrapText="1" shrinkToFit="1"/>
      <protection locked="0" hidden="1"/>
    </xf>
    <xf numFmtId="17" fontId="6" fillId="2" borderId="0" xfId="0" quotePrefix="1" applyNumberFormat="1" applyFont="1" applyFill="1" applyAlignment="1">
      <alignment vertical="center"/>
    </xf>
    <xf numFmtId="1" fontId="12" fillId="2" borderId="0" xfId="0" applyNumberFormat="1" applyFont="1" applyFill="1" applyAlignment="1">
      <alignment horizontal="left" vertical="center"/>
    </xf>
    <xf numFmtId="49" fontId="12" fillId="2" borderId="0" xfId="0" applyNumberFormat="1" applyFont="1" applyFill="1" applyAlignment="1">
      <alignment horizontal="left" vertical="center"/>
    </xf>
    <xf numFmtId="0" fontId="13" fillId="2" borderId="0" xfId="0" applyFont="1" applyFill="1" applyAlignment="1">
      <alignment horizontal="left"/>
    </xf>
    <xf numFmtId="0" fontId="13" fillId="2" borderId="0" xfId="0" applyFont="1" applyFill="1" applyAlignment="1">
      <alignment horizontal="left" vertical="center"/>
    </xf>
    <xf numFmtId="0" fontId="19" fillId="2" borderId="0" xfId="0" applyFont="1" applyFill="1" applyAlignment="1">
      <alignment horizontal="left"/>
    </xf>
    <xf numFmtId="49" fontId="7" fillId="2" borderId="0" xfId="0" applyNumberFormat="1" applyFont="1" applyFill="1" applyAlignment="1">
      <alignment horizontal="left" vertical="center"/>
    </xf>
    <xf numFmtId="0" fontId="55" fillId="2" borderId="0" xfId="0" applyFont="1" applyFill="1" applyAlignment="1">
      <alignment vertical="center"/>
    </xf>
    <xf numFmtId="0" fontId="6" fillId="2" borderId="0" xfId="0" applyFont="1" applyFill="1" applyAlignment="1">
      <alignment horizontal="center"/>
    </xf>
    <xf numFmtId="0" fontId="5" fillId="2" borderId="0" xfId="0" applyFont="1" applyFill="1" applyAlignment="1">
      <alignment horizontal="right" vertical="center"/>
    </xf>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left" vertical="center" indent="1"/>
    </xf>
    <xf numFmtId="0" fontId="20" fillId="5" borderId="4" xfId="2" applyNumberFormat="1" applyFill="1" applyBorder="1" applyAlignment="1" applyProtection="1">
      <alignment horizontal="center" vertical="center" wrapText="1"/>
      <protection locked="0"/>
    </xf>
    <xf numFmtId="49" fontId="6" fillId="2" borderId="0" xfId="0" applyNumberFormat="1" applyFont="1" applyFill="1"/>
    <xf numFmtId="0" fontId="6" fillId="3" borderId="0" xfId="0" applyFont="1" applyFill="1" applyAlignment="1">
      <alignment vertical="center"/>
    </xf>
    <xf numFmtId="0" fontId="6" fillId="3" borderId="0" xfId="0" applyFont="1" applyFill="1" applyAlignment="1">
      <alignment vertical="center" wrapText="1"/>
    </xf>
    <xf numFmtId="0" fontId="20" fillId="3" borderId="0" xfId="2" applyNumberFormat="1" applyFill="1" applyBorder="1" applyAlignment="1" applyProtection="1">
      <alignment horizontal="left"/>
    </xf>
    <xf numFmtId="0" fontId="6" fillId="3" borderId="0" xfId="0" applyFont="1" applyFill="1" applyAlignment="1">
      <alignment horizontal="left" vertical="top" wrapText="1"/>
    </xf>
    <xf numFmtId="0" fontId="6" fillId="0" borderId="0" xfId="0" applyFont="1"/>
    <xf numFmtId="0" fontId="5" fillId="2" borderId="0" xfId="0" applyFont="1" applyFill="1" applyAlignment="1">
      <alignment horizontal="left"/>
    </xf>
    <xf numFmtId="0" fontId="6" fillId="0" borderId="0" xfId="0" applyFont="1" applyAlignment="1">
      <alignment horizontal="left" vertical="center" indent="1"/>
    </xf>
    <xf numFmtId="0" fontId="6" fillId="0" borderId="0" xfId="0" applyFont="1" applyAlignment="1">
      <alignment vertical="center"/>
    </xf>
    <xf numFmtId="0" fontId="6" fillId="0" borderId="0" xfId="0" applyFont="1" applyAlignment="1">
      <alignment horizontal="center"/>
    </xf>
    <xf numFmtId="0" fontId="24" fillId="2" borderId="0" xfId="0" applyFont="1" applyFill="1"/>
    <xf numFmtId="0" fontId="37" fillId="3" borderId="0" xfId="0" applyFont="1" applyFill="1" applyAlignment="1">
      <alignment horizontal="left"/>
    </xf>
    <xf numFmtId="0" fontId="54" fillId="3" borderId="0" xfId="0" applyFont="1" applyFill="1" applyAlignment="1">
      <alignment horizontal="left"/>
    </xf>
    <xf numFmtId="0" fontId="24" fillId="2" borderId="0" xfId="0" applyFont="1" applyFill="1" applyAlignment="1">
      <alignment horizontal="left"/>
    </xf>
    <xf numFmtId="0" fontId="6" fillId="3" borderId="0" xfId="0" applyFont="1" applyFill="1" applyAlignment="1">
      <alignment vertical="top" wrapText="1"/>
    </xf>
    <xf numFmtId="0" fontId="6" fillId="3" borderId="0" xfId="0" applyFont="1" applyFill="1" applyAlignment="1">
      <alignment vertical="top"/>
    </xf>
    <xf numFmtId="0" fontId="6" fillId="2" borderId="3" xfId="0" applyFont="1" applyFill="1" applyBorder="1" applyAlignment="1">
      <alignment horizontal="center"/>
    </xf>
    <xf numFmtId="0" fontId="6" fillId="2" borderId="2" xfId="0" applyFont="1" applyFill="1" applyBorder="1" applyAlignment="1">
      <alignment horizontal="center"/>
    </xf>
    <xf numFmtId="0" fontId="6" fillId="2" borderId="6" xfId="0" applyFont="1" applyFill="1" applyBorder="1" applyAlignment="1">
      <alignment horizontal="center"/>
    </xf>
    <xf numFmtId="0" fontId="5" fillId="2" borderId="7" xfId="0" applyFont="1" applyFill="1" applyBorder="1" applyAlignment="1">
      <alignment horizontal="center"/>
    </xf>
    <xf numFmtId="0" fontId="26" fillId="3" borderId="3" xfId="0" applyFont="1" applyFill="1" applyBorder="1"/>
    <xf numFmtId="0" fontId="24" fillId="2" borderId="2" xfId="0" applyFont="1" applyFill="1" applyBorder="1"/>
    <xf numFmtId="0" fontId="6" fillId="2" borderId="6" xfId="0" applyFont="1" applyFill="1" applyBorder="1" applyAlignment="1">
      <alignment horizontal="left"/>
    </xf>
    <xf numFmtId="0" fontId="6" fillId="2" borderId="7" xfId="0" applyFont="1" applyFill="1" applyBorder="1" applyAlignment="1">
      <alignment horizontal="left"/>
    </xf>
    <xf numFmtId="0" fontId="6" fillId="3" borderId="7" xfId="0" applyFont="1" applyFill="1" applyBorder="1"/>
    <xf numFmtId="0" fontId="6" fillId="2" borderId="7" xfId="0" applyFont="1" applyFill="1" applyBorder="1"/>
    <xf numFmtId="0" fontId="24" fillId="2" borderId="8" xfId="0" applyFont="1" applyFill="1" applyBorder="1"/>
    <xf numFmtId="0" fontId="5" fillId="2" borderId="3" xfId="0" applyFont="1" applyFill="1" applyBorder="1" applyAlignment="1">
      <alignment horizontal="right" vertical="center"/>
    </xf>
    <xf numFmtId="0" fontId="18" fillId="2" borderId="17" xfId="0" applyFont="1" applyFill="1" applyBorder="1"/>
    <xf numFmtId="0" fontId="19" fillId="2" borderId="18" xfId="0" applyFont="1" applyFill="1" applyBorder="1" applyAlignment="1">
      <alignment horizontal="centerContinuous"/>
    </xf>
    <xf numFmtId="0" fontId="13" fillId="2" borderId="18" xfId="0" applyFont="1" applyFill="1" applyBorder="1" applyAlignment="1">
      <alignment horizontal="centerContinuous"/>
    </xf>
    <xf numFmtId="0" fontId="18" fillId="2" borderId="19" xfId="0" applyFont="1" applyFill="1" applyBorder="1"/>
    <xf numFmtId="0" fontId="18" fillId="2" borderId="3" xfId="0" applyFont="1" applyFill="1" applyBorder="1"/>
    <xf numFmtId="0" fontId="18" fillId="2" borderId="2" xfId="0" applyFont="1" applyFill="1" applyBorder="1"/>
    <xf numFmtId="0" fontId="5" fillId="2" borderId="3" xfId="0" applyFont="1" applyFill="1" applyBorder="1" applyAlignment="1">
      <alignment horizontal="center" vertical="center"/>
    </xf>
    <xf numFmtId="0" fontId="28" fillId="2" borderId="0" xfId="0" applyFont="1" applyFill="1"/>
    <xf numFmtId="0" fontId="18" fillId="2" borderId="3" xfId="0" applyFont="1" applyFill="1" applyBorder="1" applyAlignment="1">
      <alignment vertical="center"/>
    </xf>
    <xf numFmtId="0" fontId="18" fillId="2" borderId="2" xfId="0" applyFont="1" applyFill="1" applyBorder="1" applyAlignment="1">
      <alignment vertical="center"/>
    </xf>
    <xf numFmtId="0" fontId="16" fillId="2" borderId="7" xfId="0" applyFont="1" applyFill="1" applyBorder="1" applyAlignment="1">
      <alignment horizontal="center" vertical="center"/>
    </xf>
    <xf numFmtId="0" fontId="32" fillId="2" borderId="7" xfId="0" applyFont="1" applyFill="1" applyBorder="1" applyAlignment="1">
      <alignment horizontal="center" vertical="center" wrapText="1"/>
    </xf>
    <xf numFmtId="0" fontId="19" fillId="2" borderId="8" xfId="0" applyFont="1" applyFill="1" applyBorder="1"/>
    <xf numFmtId="0" fontId="18" fillId="2" borderId="6" xfId="0" applyFont="1" applyFill="1" applyBorder="1" applyAlignment="1">
      <alignment vertical="center"/>
    </xf>
    <xf numFmtId="0" fontId="19" fillId="2" borderId="7" xfId="0" applyFont="1" applyFill="1" applyBorder="1" applyAlignment="1">
      <alignment vertical="center"/>
    </xf>
    <xf numFmtId="0" fontId="6" fillId="2" borderId="7" xfId="0" applyFont="1" applyFill="1" applyBorder="1" applyAlignment="1">
      <alignment vertical="center"/>
    </xf>
    <xf numFmtId="0" fontId="2" fillId="2" borderId="7" xfId="0" applyFont="1" applyFill="1" applyBorder="1" applyAlignment="1">
      <alignment horizontal="left" vertical="center"/>
    </xf>
    <xf numFmtId="0" fontId="18" fillId="2" borderId="8" xfId="0" applyFont="1" applyFill="1" applyBorder="1" applyAlignment="1">
      <alignment vertical="center"/>
    </xf>
    <xf numFmtId="0" fontId="19" fillId="2" borderId="17" xfId="0" applyFont="1" applyFill="1" applyBorder="1"/>
    <xf numFmtId="0" fontId="33" fillId="2" borderId="18" xfId="0" applyFont="1" applyFill="1" applyBorder="1"/>
    <xf numFmtId="0" fontId="19" fillId="2" borderId="18" xfId="0" applyFont="1" applyFill="1" applyBorder="1"/>
    <xf numFmtId="0" fontId="32" fillId="2" borderId="18" xfId="0" applyFont="1" applyFill="1" applyBorder="1" applyAlignment="1">
      <alignment horizontal="center" vertical="center" wrapText="1"/>
    </xf>
    <xf numFmtId="0" fontId="4" fillId="2" borderId="18" xfId="0" applyFont="1" applyFill="1" applyBorder="1" applyAlignment="1">
      <alignment horizontal="center"/>
    </xf>
    <xf numFmtId="0" fontId="44" fillId="2" borderId="18" xfId="0" applyFont="1" applyFill="1" applyBorder="1" applyAlignment="1">
      <alignment horizontal="center"/>
    </xf>
    <xf numFmtId="0" fontId="19" fillId="2" borderId="19" xfId="0" applyFont="1" applyFill="1" applyBorder="1"/>
    <xf numFmtId="0" fontId="19" fillId="2" borderId="2" xfId="0" applyFont="1" applyFill="1" applyBorder="1" applyAlignment="1">
      <alignment vertical="center"/>
    </xf>
    <xf numFmtId="0" fontId="19" fillId="2" borderId="3" xfId="0" applyFont="1" applyFill="1" applyBorder="1" applyAlignment="1">
      <alignment vertical="center"/>
    </xf>
    <xf numFmtId="0" fontId="19" fillId="2" borderId="6" xfId="0" applyFont="1" applyFill="1" applyBorder="1" applyAlignment="1">
      <alignment vertical="center"/>
    </xf>
    <xf numFmtId="0" fontId="19" fillId="2" borderId="8" xfId="0" applyFont="1" applyFill="1" applyBorder="1" applyAlignment="1">
      <alignment vertical="center"/>
    </xf>
    <xf numFmtId="0" fontId="19" fillId="2" borderId="17" xfId="0" applyFont="1" applyFill="1" applyBorder="1" applyAlignment="1">
      <alignment vertical="center"/>
    </xf>
    <xf numFmtId="0" fontId="19" fillId="2" borderId="18" xfId="0" applyFont="1" applyFill="1" applyBorder="1" applyAlignment="1">
      <alignment vertical="center"/>
    </xf>
    <xf numFmtId="0" fontId="6" fillId="2" borderId="18" xfId="0" applyFont="1" applyFill="1" applyBorder="1" applyAlignment="1">
      <alignment horizontal="left" vertical="top" wrapText="1"/>
    </xf>
    <xf numFmtId="0" fontId="19" fillId="2" borderId="18" xfId="0" applyFont="1" applyFill="1" applyBorder="1" applyAlignment="1">
      <alignment horizontal="right" vertical="center"/>
    </xf>
    <xf numFmtId="0" fontId="19" fillId="2" borderId="19" xfId="0" applyFont="1" applyFill="1" applyBorder="1" applyAlignment="1">
      <alignment vertical="center"/>
    </xf>
    <xf numFmtId="0" fontId="6" fillId="2" borderId="7" xfId="0" applyFont="1" applyFill="1" applyBorder="1" applyAlignment="1">
      <alignment horizontal="left" vertical="top" wrapText="1"/>
    </xf>
    <xf numFmtId="0" fontId="19" fillId="2" borderId="7" xfId="0" applyFont="1" applyFill="1" applyBorder="1" applyAlignment="1">
      <alignment horizontal="right" vertical="center"/>
    </xf>
    <xf numFmtId="0" fontId="4" fillId="2" borderId="18" xfId="0" applyFont="1" applyFill="1" applyBorder="1" applyAlignment="1">
      <alignment horizontal="centerContinuous"/>
    </xf>
    <xf numFmtId="0" fontId="32" fillId="2" borderId="18" xfId="0" applyFont="1" applyFill="1" applyBorder="1" applyAlignment="1">
      <alignment horizontal="center"/>
    </xf>
    <xf numFmtId="0" fontId="19" fillId="2" borderId="7" xfId="0" applyFont="1" applyFill="1" applyBorder="1" applyAlignment="1">
      <alignment horizontal="centerContinuous"/>
    </xf>
    <xf numFmtId="0" fontId="17" fillId="2" borderId="3" xfId="0" applyFont="1" applyFill="1" applyBorder="1" applyAlignment="1">
      <alignment horizontal="left" vertical="center" indent="2"/>
    </xf>
    <xf numFmtId="0" fontId="5" fillId="2" borderId="2" xfId="0" applyFont="1" applyFill="1" applyBorder="1" applyAlignment="1">
      <alignment horizontal="center" vertical="center"/>
    </xf>
    <xf numFmtId="0" fontId="2" fillId="2" borderId="2" xfId="0" applyFont="1" applyFill="1" applyBorder="1" applyAlignment="1">
      <alignment horizontal="left" vertical="center"/>
    </xf>
    <xf numFmtId="0" fontId="17" fillId="2" borderId="7" xfId="0" applyFont="1" applyFill="1" applyBorder="1" applyAlignment="1">
      <alignment vertical="center"/>
    </xf>
    <xf numFmtId="0" fontId="15" fillId="2" borderId="7" xfId="0" applyFont="1" applyFill="1" applyBorder="1"/>
    <xf numFmtId="0" fontId="19" fillId="2" borderId="7" xfId="0" applyFont="1" applyFill="1" applyBorder="1" applyAlignment="1">
      <alignment horizontal="left"/>
    </xf>
    <xf numFmtId="0" fontId="18" fillId="2" borderId="8" xfId="0" applyFont="1" applyFill="1" applyBorder="1"/>
    <xf numFmtId="0" fontId="5" fillId="2" borderId="17" xfId="0" applyFont="1" applyFill="1" applyBorder="1" applyAlignment="1">
      <alignment vertical="center"/>
    </xf>
    <xf numFmtId="0" fontId="5" fillId="2" borderId="18" xfId="0" applyFont="1" applyFill="1" applyBorder="1" applyAlignment="1">
      <alignment vertical="center"/>
    </xf>
    <xf numFmtId="49" fontId="7" fillId="2" borderId="7" xfId="0" applyNumberFormat="1" applyFont="1" applyFill="1" applyBorder="1" applyAlignment="1">
      <alignment horizontal="right"/>
    </xf>
    <xf numFmtId="0" fontId="44" fillId="2" borderId="7" xfId="0" applyFont="1" applyFill="1" applyBorder="1" applyAlignment="1">
      <alignment horizontal="left"/>
    </xf>
    <xf numFmtId="0" fontId="18" fillId="2" borderId="18" xfId="0" applyFont="1" applyFill="1" applyBorder="1"/>
    <xf numFmtId="49" fontId="6" fillId="2" borderId="18" xfId="0" applyNumberFormat="1" applyFont="1" applyFill="1" applyBorder="1" applyAlignment="1">
      <alignment horizontal="left" vertical="center" indent="2"/>
    </xf>
    <xf numFmtId="0" fontId="18" fillId="2" borderId="6" xfId="0" applyFont="1" applyFill="1" applyBorder="1"/>
    <xf numFmtId="0" fontId="18" fillId="2" borderId="7" xfId="0" applyFont="1" applyFill="1" applyBorder="1"/>
    <xf numFmtId="37" fontId="6" fillId="0" borderId="1" xfId="0" applyNumberFormat="1" applyFont="1" applyBorder="1" applyAlignment="1" applyProtection="1">
      <alignment horizontal="right" vertical="center"/>
      <protection locked="0" hidden="1"/>
    </xf>
    <xf numFmtId="37" fontId="6" fillId="0" borderId="20" xfId="0" applyNumberFormat="1" applyFont="1" applyBorder="1" applyAlignment="1" applyProtection="1">
      <alignment horizontal="right" vertical="center"/>
      <protection locked="0" hidden="1"/>
    </xf>
    <xf numFmtId="37" fontId="6" fillId="0" borderId="5" xfId="0" applyNumberFormat="1" applyFont="1" applyBorder="1" applyAlignment="1" applyProtection="1">
      <alignment horizontal="right" vertical="center"/>
      <protection locked="0" hidden="1"/>
    </xf>
    <xf numFmtId="37" fontId="6" fillId="0" borderId="1" xfId="0" applyNumberFormat="1" applyFont="1" applyBorder="1" applyAlignment="1" applyProtection="1">
      <alignment horizontal="right" vertical="center"/>
      <protection locked="0"/>
    </xf>
    <xf numFmtId="166" fontId="6" fillId="0" borderId="1" xfId="0" applyNumberFormat="1" applyFont="1" applyBorder="1" applyAlignment="1" applyProtection="1">
      <alignment horizontal="right" vertical="center"/>
      <protection locked="0"/>
    </xf>
    <xf numFmtId="167" fontId="6" fillId="0" borderId="1" xfId="0" applyNumberFormat="1" applyFont="1" applyBorder="1" applyAlignment="1" applyProtection="1">
      <alignment horizontal="right" vertical="center"/>
      <protection locked="0"/>
    </xf>
    <xf numFmtId="167" fontId="6" fillId="0" borderId="1" xfId="0" applyNumberFormat="1" applyFont="1" applyBorder="1" applyAlignment="1" applyProtection="1">
      <alignment horizontal="right" vertical="center"/>
      <protection locked="0" hidden="1"/>
    </xf>
    <xf numFmtId="3" fontId="6" fillId="0" borderId="1" xfId="0" applyNumberFormat="1" applyFont="1" applyBorder="1" applyAlignment="1" applyProtection="1">
      <alignment horizontal="right" vertical="center"/>
      <protection locked="0" hidden="1"/>
    </xf>
    <xf numFmtId="3" fontId="6" fillId="0" borderId="1" xfId="0" applyNumberFormat="1" applyFont="1" applyBorder="1" applyAlignment="1" applyProtection="1">
      <alignment horizontal="right" vertical="center"/>
      <protection locked="0"/>
    </xf>
    <xf numFmtId="0" fontId="36" fillId="2" borderId="0" xfId="0" applyFont="1" applyFill="1" applyAlignment="1">
      <alignment horizontal="center" vertical="center"/>
    </xf>
    <xf numFmtId="0" fontId="5" fillId="2" borderId="5" xfId="0" applyFont="1" applyFill="1" applyBorder="1" applyAlignment="1">
      <alignment vertical="center" wrapText="1"/>
    </xf>
    <xf numFmtId="0" fontId="5" fillId="2" borderId="0" xfId="0" applyFont="1" applyFill="1" applyAlignment="1">
      <alignment horizontal="center" vertical="center" wrapText="1"/>
    </xf>
    <xf numFmtId="37" fontId="6" fillId="2" borderId="0" xfId="0" applyNumberFormat="1" applyFont="1" applyFill="1" applyAlignment="1" applyProtection="1">
      <alignment horizontal="center" vertical="center"/>
      <protection hidden="1"/>
    </xf>
    <xf numFmtId="0" fontId="55" fillId="2" borderId="0" xfId="0" applyFont="1" applyFill="1" applyAlignment="1">
      <alignment horizontal="center" vertical="center"/>
    </xf>
    <xf numFmtId="37" fontId="6" fillId="2" borderId="1" xfId="0" applyNumberFormat="1" applyFont="1" applyFill="1" applyBorder="1" applyAlignment="1" applyProtection="1">
      <alignment horizontal="right" vertical="center"/>
      <protection locked="0"/>
    </xf>
    <xf numFmtId="37" fontId="6" fillId="6" borderId="1" xfId="0" applyNumberFormat="1" applyFont="1" applyFill="1" applyBorder="1" applyAlignment="1" applyProtection="1">
      <alignment horizontal="center" vertical="center"/>
      <protection hidden="1"/>
    </xf>
    <xf numFmtId="0" fontId="6" fillId="2" borderId="0" xfId="0" applyFont="1" applyFill="1" applyAlignment="1">
      <alignment wrapText="1"/>
    </xf>
    <xf numFmtId="49" fontId="6" fillId="2" borderId="15" xfId="0" applyNumberFormat="1" applyFont="1" applyFill="1" applyBorder="1" applyAlignment="1">
      <alignment vertical="top"/>
    </xf>
    <xf numFmtId="0" fontId="6" fillId="2" borderId="0" xfId="0" applyFont="1" applyFill="1" applyAlignment="1">
      <alignment vertical="center" wrapText="1"/>
    </xf>
    <xf numFmtId="0" fontId="19" fillId="2" borderId="0" xfId="0" applyFont="1" applyFill="1" applyAlignment="1">
      <alignment horizontal="right" vertical="center"/>
    </xf>
    <xf numFmtId="0" fontId="6" fillId="2" borderId="0" xfId="0" quotePrefix="1" applyFont="1" applyFill="1" applyAlignment="1">
      <alignment vertical="center"/>
    </xf>
    <xf numFmtId="49" fontId="6" fillId="2" borderId="0" xfId="0" quotePrefix="1" applyNumberFormat="1" applyFont="1" applyFill="1" applyAlignment="1">
      <alignment vertical="center"/>
    </xf>
    <xf numFmtId="49" fontId="5" fillId="2" borderId="0" xfId="0" applyNumberFormat="1" applyFont="1" applyFill="1" applyAlignment="1">
      <alignment vertical="center"/>
    </xf>
    <xf numFmtId="49" fontId="6" fillId="2" borderId="15" xfId="0" applyNumberFormat="1" applyFont="1" applyFill="1" applyBorder="1" applyAlignment="1">
      <alignment horizontal="left" vertical="top"/>
    </xf>
    <xf numFmtId="0" fontId="41" fillId="2" borderId="2" xfId="0" applyFont="1" applyFill="1" applyBorder="1" applyAlignment="1">
      <alignment vertical="center" wrapText="1"/>
    </xf>
    <xf numFmtId="0" fontId="67" fillId="2" borderId="0" xfId="0" quotePrefix="1" applyFont="1" applyFill="1" applyAlignment="1">
      <alignment vertical="top" wrapText="1"/>
    </xf>
    <xf numFmtId="0" fontId="18" fillId="2" borderId="35" xfId="0" applyFont="1" applyFill="1" applyBorder="1" applyAlignment="1">
      <alignment vertical="center"/>
    </xf>
    <xf numFmtId="0" fontId="43" fillId="2" borderId="36" xfId="0" applyFont="1" applyFill="1" applyBorder="1" applyAlignment="1">
      <alignment vertical="center"/>
    </xf>
    <xf numFmtId="0" fontId="33" fillId="2" borderId="36" xfId="0" applyFont="1" applyFill="1" applyBorder="1" applyAlignment="1">
      <alignment vertical="center"/>
    </xf>
    <xf numFmtId="0" fontId="19" fillId="2" borderId="36" xfId="0" applyFont="1" applyFill="1" applyBorder="1" applyAlignment="1">
      <alignment vertical="center"/>
    </xf>
    <xf numFmtId="0" fontId="5" fillId="2" borderId="36" xfId="0" applyFont="1" applyFill="1" applyBorder="1" applyAlignment="1">
      <alignment horizontal="center" vertical="center"/>
    </xf>
    <xf numFmtId="0" fontId="13" fillId="2" borderId="36" xfId="0" applyFont="1" applyFill="1" applyBorder="1" applyAlignment="1">
      <alignment vertical="center"/>
    </xf>
    <xf numFmtId="0" fontId="18" fillId="2" borderId="37" xfId="0" applyFont="1" applyFill="1" applyBorder="1" applyAlignment="1">
      <alignment vertical="center"/>
    </xf>
    <xf numFmtId="0" fontId="18" fillId="2" borderId="38" xfId="0" applyFont="1" applyFill="1" applyBorder="1" applyAlignment="1">
      <alignment vertical="center"/>
    </xf>
    <xf numFmtId="0" fontId="18" fillId="2" borderId="39" xfId="0" applyFont="1" applyFill="1" applyBorder="1" applyAlignment="1">
      <alignment vertical="center"/>
    </xf>
    <xf numFmtId="0" fontId="5" fillId="2" borderId="38" xfId="0" applyFont="1" applyFill="1" applyBorder="1" applyAlignment="1">
      <alignment horizontal="center" vertical="center"/>
    </xf>
    <xf numFmtId="0" fontId="18" fillId="2" borderId="40" xfId="0" applyFont="1" applyFill="1" applyBorder="1" applyAlignment="1">
      <alignment vertical="center"/>
    </xf>
    <xf numFmtId="0" fontId="6" fillId="2" borderId="41" xfId="0" applyFont="1" applyFill="1" applyBorder="1" applyAlignment="1">
      <alignment horizontal="left" vertical="top" wrapText="1"/>
    </xf>
    <xf numFmtId="0" fontId="19" fillId="2" borderId="41" xfId="0" applyFont="1" applyFill="1" applyBorder="1" applyAlignment="1">
      <alignment vertical="center"/>
    </xf>
    <xf numFmtId="0" fontId="2" fillId="2" borderId="41" xfId="0" applyFont="1" applyFill="1" applyBorder="1" applyAlignment="1">
      <alignment horizontal="left" vertical="center"/>
    </xf>
    <xf numFmtId="0" fontId="18" fillId="2" borderId="42" xfId="0" applyFont="1" applyFill="1" applyBorder="1" applyAlignment="1">
      <alignment vertical="center"/>
    </xf>
    <xf numFmtId="0" fontId="55" fillId="2" borderId="3" xfId="0" applyFont="1" applyFill="1" applyBorder="1" applyAlignment="1">
      <alignment horizontal="center" vertical="center"/>
    </xf>
    <xf numFmtId="0" fontId="18" fillId="4" borderId="0" xfId="0" applyFont="1" applyFill="1" applyAlignment="1">
      <alignment vertical="center"/>
    </xf>
    <xf numFmtId="0" fontId="5" fillId="2" borderId="3" xfId="0" applyFont="1" applyFill="1" applyBorder="1" applyAlignment="1">
      <alignment vertical="center"/>
    </xf>
    <xf numFmtId="0" fontId="5" fillId="2" borderId="2" xfId="0" applyFont="1" applyFill="1" applyBorder="1" applyAlignment="1">
      <alignment vertical="center"/>
    </xf>
    <xf numFmtId="0" fontId="21" fillId="2" borderId="0" xfId="0" applyFont="1" applyFill="1" applyAlignment="1">
      <alignment vertical="center"/>
    </xf>
    <xf numFmtId="0" fontId="68" fillId="2" borderId="19" xfId="0" applyFont="1" applyFill="1" applyBorder="1" applyAlignment="1">
      <alignment vertical="center"/>
    </xf>
    <xf numFmtId="37" fontId="6" fillId="6" borderId="1" xfId="0" applyNumberFormat="1" applyFont="1" applyFill="1" applyBorder="1" applyAlignment="1" applyProtection="1">
      <alignment horizontal="right" vertical="center"/>
      <protection hidden="1"/>
    </xf>
    <xf numFmtId="1" fontId="5" fillId="2" borderId="1" xfId="0" applyNumberFormat="1" applyFont="1" applyFill="1" applyBorder="1" applyAlignment="1">
      <alignment horizontal="center"/>
    </xf>
    <xf numFmtId="166" fontId="6" fillId="4" borderId="1" xfId="0" applyNumberFormat="1" applyFont="1" applyFill="1" applyBorder="1" applyAlignment="1" applyProtection="1">
      <alignment horizontal="center" shrinkToFit="1"/>
      <protection locked="0" hidden="1"/>
    </xf>
    <xf numFmtId="166" fontId="6" fillId="4" borderId="1" xfId="0" applyNumberFormat="1" applyFont="1" applyFill="1" applyBorder="1" applyAlignment="1" applyProtection="1">
      <alignment shrinkToFit="1"/>
      <protection locked="0" hidden="1"/>
    </xf>
    <xf numFmtId="0" fontId="36" fillId="2" borderId="0" xfId="0" applyFont="1" applyFill="1" applyAlignment="1">
      <alignment horizontal="left" vertical="center" indent="1"/>
    </xf>
    <xf numFmtId="37" fontId="6" fillId="0" borderId="1" xfId="0" applyNumberFormat="1" applyFont="1" applyBorder="1" applyAlignment="1" applyProtection="1">
      <alignment horizontal="center" vertical="center" shrinkToFit="1"/>
      <protection locked="0"/>
    </xf>
    <xf numFmtId="3" fontId="6" fillId="0" borderId="1" xfId="0" applyNumberFormat="1" applyFont="1" applyBorder="1" applyAlignment="1" applyProtection="1">
      <alignment horizontal="center" vertical="center" shrinkToFit="1"/>
      <protection locked="0" hidden="1"/>
    </xf>
    <xf numFmtId="37" fontId="5" fillId="6" borderId="1" xfId="0" applyNumberFormat="1" applyFont="1" applyFill="1" applyBorder="1" applyAlignment="1" applyProtection="1">
      <alignment horizontal="center" vertical="center"/>
      <protection hidden="1"/>
    </xf>
    <xf numFmtId="166" fontId="6" fillId="6" borderId="1" xfId="0" applyNumberFormat="1" applyFont="1" applyFill="1" applyBorder="1" applyAlignment="1" applyProtection="1">
      <alignment horizontal="right" vertical="center"/>
      <protection hidden="1"/>
    </xf>
    <xf numFmtId="0" fontId="6" fillId="0" borderId="0" xfId="0" applyFont="1" applyAlignment="1" applyProtection="1">
      <alignment vertical="center"/>
      <protection hidden="1"/>
    </xf>
    <xf numFmtId="0" fontId="6" fillId="0" borderId="0" xfId="0" applyFont="1" applyAlignment="1" applyProtection="1">
      <alignment vertical="center" wrapText="1"/>
      <protection hidden="1"/>
    </xf>
    <xf numFmtId="0" fontId="18" fillId="4" borderId="0" xfId="0" applyFont="1" applyFill="1" applyAlignment="1" applyProtection="1">
      <alignmen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18" fillId="0" borderId="0" xfId="0" applyFont="1" applyAlignment="1" applyProtection="1">
      <alignment vertical="center"/>
      <protection hidden="1"/>
    </xf>
    <xf numFmtId="0" fontId="5" fillId="0" borderId="3"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6" fillId="0" borderId="2" xfId="0" applyFont="1" applyBorder="1" applyAlignment="1" applyProtection="1">
      <alignment vertical="center"/>
      <protection hidden="1"/>
    </xf>
    <xf numFmtId="0" fontId="6" fillId="0" borderId="0" xfId="0" applyFont="1" applyAlignment="1" applyProtection="1">
      <alignment horizontal="left" vertical="center"/>
      <protection hidden="1"/>
    </xf>
    <xf numFmtId="0" fontId="6" fillId="0" borderId="3" xfId="0" applyFont="1" applyBorder="1" applyAlignment="1" applyProtection="1">
      <alignment horizontal="left" vertical="center"/>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horizontal="right" vertical="center"/>
      <protection hidden="1"/>
    </xf>
    <xf numFmtId="0" fontId="6" fillId="0" borderId="3" xfId="0" applyFont="1" applyBorder="1" applyAlignment="1" applyProtection="1">
      <alignment vertical="center"/>
      <protection hidden="1"/>
    </xf>
    <xf numFmtId="0" fontId="56" fillId="0" borderId="3" xfId="0" applyFont="1" applyBorder="1" applyAlignment="1" applyProtection="1">
      <alignment vertical="center" wrapText="1"/>
      <protection hidden="1"/>
    </xf>
    <xf numFmtId="0" fontId="56" fillId="0" borderId="0" xfId="0" applyFont="1" applyAlignment="1" applyProtection="1">
      <alignment vertical="center" wrapText="1"/>
      <protection hidden="1"/>
    </xf>
    <xf numFmtId="0" fontId="6" fillId="0" borderId="0" xfId="0" applyFont="1" applyAlignment="1" applyProtection="1">
      <alignment horizontal="justify" vertical="center" wrapText="1"/>
      <protection hidden="1"/>
    </xf>
    <xf numFmtId="0" fontId="5" fillId="0" borderId="2" xfId="0" applyFont="1" applyBorder="1" applyAlignment="1" applyProtection="1">
      <alignment vertical="center" wrapText="1"/>
      <protection hidden="1"/>
    </xf>
    <xf numFmtId="0" fontId="5" fillId="0" borderId="6" xfId="0" applyFont="1" applyBorder="1" applyAlignment="1" applyProtection="1">
      <alignment vertical="center" wrapText="1"/>
      <protection hidden="1"/>
    </xf>
    <xf numFmtId="0" fontId="5" fillId="0" borderId="7" xfId="0" applyFont="1" applyBorder="1" applyAlignment="1" applyProtection="1">
      <alignment vertical="center" wrapText="1"/>
      <protection hidden="1"/>
    </xf>
    <xf numFmtId="0" fontId="5" fillId="0" borderId="8" xfId="0" applyFont="1" applyBorder="1" applyAlignment="1" applyProtection="1">
      <alignment vertical="center" wrapText="1"/>
      <protection hidden="1"/>
    </xf>
    <xf numFmtId="0" fontId="11" fillId="0" borderId="0" xfId="0" applyFont="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54"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2" fillId="0" borderId="3" xfId="0" applyFont="1" applyBorder="1" applyAlignment="1" applyProtection="1">
      <alignment vertical="center"/>
      <protection hidden="1"/>
    </xf>
    <xf numFmtId="0" fontId="5" fillId="0" borderId="0" xfId="0" quotePrefix="1" applyFont="1" applyAlignment="1" applyProtection="1">
      <alignment horizontal="center" vertical="center"/>
      <protection hidden="1"/>
    </xf>
    <xf numFmtId="0" fontId="22" fillId="0" borderId="0" xfId="0" applyFont="1" applyAlignment="1" applyProtection="1">
      <alignment vertical="center"/>
      <protection hidden="1"/>
    </xf>
    <xf numFmtId="0" fontId="6" fillId="0" borderId="0" xfId="0" quotePrefix="1" applyFont="1" applyAlignment="1" applyProtection="1">
      <alignment horizontal="left" vertical="center" wrapText="1"/>
      <protection hidden="1"/>
    </xf>
    <xf numFmtId="0" fontId="5" fillId="0" borderId="3" xfId="0" applyFont="1" applyBorder="1" applyAlignment="1" applyProtection="1">
      <alignment vertical="center"/>
      <protection hidden="1"/>
    </xf>
    <xf numFmtId="0" fontId="5" fillId="0" borderId="0" xfId="0" applyFont="1" applyAlignment="1" applyProtection="1">
      <alignment vertical="center"/>
      <protection hidden="1"/>
    </xf>
    <xf numFmtId="0" fontId="6" fillId="0" borderId="6" xfId="0" applyFont="1" applyBorder="1" applyAlignment="1" applyProtection="1">
      <alignment vertical="center"/>
      <protection hidden="1"/>
    </xf>
    <xf numFmtId="0" fontId="5" fillId="0" borderId="7" xfId="0" quotePrefix="1" applyFont="1" applyBorder="1" applyAlignment="1" applyProtection="1">
      <alignment horizontal="center" vertical="center"/>
      <protection hidden="1"/>
    </xf>
    <xf numFmtId="0" fontId="6" fillId="0" borderId="7" xfId="0" quotePrefix="1" applyFont="1" applyBorder="1" applyAlignment="1" applyProtection="1">
      <alignment vertical="center" wrapText="1"/>
      <protection hidden="1"/>
    </xf>
    <xf numFmtId="0" fontId="6" fillId="0" borderId="8" xfId="0" applyFont="1" applyBorder="1" applyAlignment="1" applyProtection="1">
      <alignment vertical="center"/>
      <protection hidden="1"/>
    </xf>
    <xf numFmtId="0" fontId="6" fillId="0" borderId="17" xfId="0" applyFont="1" applyBorder="1" applyAlignment="1" applyProtection="1">
      <alignment horizontal="justify" vertical="center" wrapText="1"/>
      <protection hidden="1"/>
    </xf>
    <xf numFmtId="0" fontId="5" fillId="0" borderId="18" xfId="0" quotePrefix="1" applyFont="1" applyBorder="1" applyAlignment="1" applyProtection="1">
      <alignment horizontal="center" vertical="center"/>
      <protection hidden="1"/>
    </xf>
    <xf numFmtId="0" fontId="6" fillId="0" borderId="18" xfId="0" applyFont="1" applyBorder="1" applyAlignment="1" applyProtection="1">
      <alignment horizontal="justify" vertical="center" wrapText="1"/>
      <protection hidden="1"/>
    </xf>
    <xf numFmtId="0" fontId="6" fillId="0" borderId="19" xfId="0" applyFont="1" applyBorder="1" applyAlignment="1" applyProtection="1">
      <alignment vertical="center"/>
      <protection hidden="1"/>
    </xf>
    <xf numFmtId="0" fontId="5" fillId="0" borderId="0" xfId="0" quotePrefix="1" applyFont="1" applyAlignment="1" applyProtection="1">
      <alignment horizontal="left" vertical="center" wrapText="1"/>
      <protection hidden="1"/>
    </xf>
    <xf numFmtId="0" fontId="5" fillId="0" borderId="3" xfId="0" quotePrefix="1" applyFont="1" applyBorder="1" applyAlignment="1" applyProtection="1">
      <alignment horizontal="justify" vertical="center" wrapText="1"/>
      <protection hidden="1"/>
    </xf>
    <xf numFmtId="0" fontId="5" fillId="0" borderId="0" xfId="0" quotePrefix="1" applyFont="1" applyAlignment="1" applyProtection="1">
      <alignment horizontal="justify" vertical="center" wrapText="1"/>
      <protection hidden="1"/>
    </xf>
    <xf numFmtId="0" fontId="6" fillId="0" borderId="0" xfId="0" quotePrefix="1" applyFont="1" applyAlignment="1" applyProtection="1">
      <alignment vertical="center"/>
      <protection hidden="1"/>
    </xf>
    <xf numFmtId="0" fontId="6" fillId="0" borderId="0" xfId="0" quotePrefix="1" applyFont="1" applyAlignment="1" applyProtection="1">
      <alignment vertical="center" wrapText="1"/>
      <protection hidden="1"/>
    </xf>
    <xf numFmtId="0" fontId="6" fillId="0" borderId="3" xfId="0" quotePrefix="1" applyFont="1" applyBorder="1" applyAlignment="1" applyProtection="1">
      <alignment horizontal="left" vertical="center"/>
      <protection hidden="1"/>
    </xf>
    <xf numFmtId="0" fontId="6" fillId="0" borderId="0" xfId="0" quotePrefix="1" applyFont="1" applyAlignment="1" applyProtection="1">
      <alignment horizontal="left" vertical="center"/>
      <protection hidden="1"/>
    </xf>
    <xf numFmtId="0" fontId="5" fillId="0" borderId="3" xfId="0" applyFont="1" applyBorder="1" applyAlignment="1" applyProtection="1">
      <alignment horizontal="left" vertical="center"/>
      <protection hidden="1"/>
    </xf>
    <xf numFmtId="0" fontId="6" fillId="0" borderId="7" xfId="0" quotePrefix="1" applyFont="1" applyBorder="1" applyAlignment="1" applyProtection="1">
      <alignment horizontal="left" vertical="center" wrapText="1"/>
      <protection hidden="1"/>
    </xf>
    <xf numFmtId="0" fontId="6" fillId="0" borderId="17" xfId="0" applyFont="1" applyBorder="1" applyAlignment="1" applyProtection="1">
      <alignment vertical="center"/>
      <protection hidden="1"/>
    </xf>
    <xf numFmtId="0" fontId="6" fillId="0" borderId="18" xfId="0" applyFont="1" applyBorder="1" applyAlignment="1" applyProtection="1">
      <alignment vertical="center"/>
      <protection hidden="1"/>
    </xf>
    <xf numFmtId="0" fontId="6" fillId="0" borderId="3" xfId="0" applyFont="1" applyBorder="1" applyAlignment="1" applyProtection="1">
      <alignment horizontal="justify" vertical="center" wrapText="1"/>
      <protection hidden="1"/>
    </xf>
    <xf numFmtId="0" fontId="6" fillId="0" borderId="0" xfId="0" applyFont="1" applyAlignment="1" applyProtection="1">
      <alignment horizontal="left" vertical="center" wrapText="1"/>
      <protection hidden="1"/>
    </xf>
    <xf numFmtId="0" fontId="6" fillId="0" borderId="3" xfId="0" applyFont="1" applyBorder="1" applyAlignment="1" applyProtection="1">
      <alignment horizontal="left" vertical="center" wrapText="1"/>
      <protection hidden="1"/>
    </xf>
    <xf numFmtId="0" fontId="6" fillId="0" borderId="7" xfId="0" applyFont="1" applyBorder="1" applyAlignment="1" applyProtection="1">
      <alignment horizontal="left" vertical="center" wrapText="1"/>
      <protection hidden="1"/>
    </xf>
    <xf numFmtId="0" fontId="6" fillId="0" borderId="3" xfId="0" quotePrefix="1" applyFont="1" applyBorder="1" applyAlignment="1" applyProtection="1">
      <alignment horizontal="left" vertical="center" wrapText="1"/>
      <protection hidden="1"/>
    </xf>
    <xf numFmtId="0" fontId="6" fillId="0" borderId="3" xfId="0" applyFont="1" applyBorder="1" applyAlignment="1" applyProtection="1">
      <alignment vertical="center" wrapText="1"/>
      <protection hidden="1"/>
    </xf>
    <xf numFmtId="0" fontId="5" fillId="0" borderId="3" xfId="0" quotePrefix="1" applyFont="1" applyBorder="1" applyAlignment="1" applyProtection="1">
      <alignment horizontal="left" vertical="center"/>
      <protection hidden="1"/>
    </xf>
    <xf numFmtId="0" fontId="5" fillId="0" borderId="0" xfId="0" quotePrefix="1" applyFont="1" applyAlignment="1" applyProtection="1">
      <alignment horizontal="left" vertical="center"/>
      <protection hidden="1"/>
    </xf>
    <xf numFmtId="0" fontId="5" fillId="0" borderId="7" xfId="0" quotePrefix="1" applyFont="1" applyBorder="1" applyAlignment="1" applyProtection="1">
      <alignment horizontal="left" vertical="center" wrapText="1"/>
      <protection hidden="1"/>
    </xf>
    <xf numFmtId="0" fontId="5" fillId="0" borderId="17" xfId="0" applyFont="1" applyBorder="1" applyAlignment="1" applyProtection="1">
      <alignment horizontal="justify" vertical="center" wrapText="1"/>
      <protection hidden="1"/>
    </xf>
    <xf numFmtId="0" fontId="5" fillId="0" borderId="18" xfId="0" applyFont="1" applyBorder="1" applyAlignment="1" applyProtection="1">
      <alignment horizontal="justify" vertical="center" wrapText="1"/>
      <protection hidden="1"/>
    </xf>
    <xf numFmtId="0" fontId="6" fillId="0" borderId="3" xfId="0" quotePrefix="1" applyFont="1" applyBorder="1" applyAlignment="1" applyProtection="1">
      <alignment vertical="center" wrapText="1"/>
      <protection hidden="1"/>
    </xf>
    <xf numFmtId="0" fontId="5" fillId="0" borderId="3" xfId="0" applyFont="1" applyBorder="1" applyAlignment="1" applyProtection="1">
      <alignment horizontal="justify" vertical="center" wrapText="1"/>
      <protection hidden="1"/>
    </xf>
    <xf numFmtId="0" fontId="5" fillId="0" borderId="0" xfId="0" applyFont="1" applyAlignment="1" applyProtection="1">
      <alignment horizontal="justify" vertical="center" wrapText="1"/>
      <protection hidden="1"/>
    </xf>
    <xf numFmtId="0" fontId="22" fillId="0" borderId="3" xfId="0" quotePrefix="1" applyFont="1" applyBorder="1" applyAlignment="1" applyProtection="1">
      <alignment vertical="center"/>
      <protection hidden="1"/>
    </xf>
    <xf numFmtId="0" fontId="22" fillId="0" borderId="0" xfId="0" quotePrefix="1" applyFont="1" applyAlignment="1" applyProtection="1">
      <alignment vertical="center"/>
      <protection hidden="1"/>
    </xf>
    <xf numFmtId="0" fontId="6" fillId="0" borderId="0" xfId="0" applyFont="1" applyAlignment="1" applyProtection="1">
      <alignment horizontal="justify" vertical="center"/>
      <protection hidden="1"/>
    </xf>
    <xf numFmtId="0" fontId="6" fillId="0" borderId="6" xfId="0" quotePrefix="1" applyFont="1" applyBorder="1" applyAlignment="1" applyProtection="1">
      <alignment horizontal="left" vertical="center" wrapText="1"/>
      <protection hidden="1"/>
    </xf>
    <xf numFmtId="0" fontId="6" fillId="0" borderId="7" xfId="0" applyFont="1" applyBorder="1" applyAlignment="1" applyProtection="1">
      <alignment horizontal="center" vertical="center"/>
      <protection hidden="1"/>
    </xf>
    <xf numFmtId="0" fontId="6" fillId="0" borderId="7" xfId="0" applyFont="1" applyBorder="1" applyAlignment="1" applyProtection="1">
      <alignment vertical="center"/>
      <protection hidden="1"/>
    </xf>
    <xf numFmtId="0" fontId="20" fillId="0" borderId="0" xfId="2" applyFill="1" applyBorder="1" applyAlignment="1" applyProtection="1">
      <alignment horizontal="left" vertical="center"/>
    </xf>
    <xf numFmtId="0" fontId="69" fillId="2" borderId="0" xfId="0" applyFont="1" applyFill="1" applyAlignment="1">
      <alignment horizontal="right" vertical="center"/>
    </xf>
    <xf numFmtId="0" fontId="9" fillId="0" borderId="0" xfId="0" applyFont="1"/>
    <xf numFmtId="0" fontId="38" fillId="2" borderId="0" xfId="0" applyFont="1" applyFill="1" applyAlignment="1">
      <alignment vertical="center"/>
    </xf>
    <xf numFmtId="0" fontId="69" fillId="2" borderId="0" xfId="0" applyFont="1" applyFill="1" applyAlignment="1">
      <alignment vertical="center"/>
    </xf>
    <xf numFmtId="37" fontId="70" fillId="9" borderId="1" xfId="0" applyNumberFormat="1" applyFont="1" applyFill="1" applyBorder="1" applyAlignment="1" applyProtection="1">
      <alignment horizontal="right" vertical="center"/>
      <protection hidden="1"/>
    </xf>
    <xf numFmtId="0" fontId="69" fillId="2" borderId="3" xfId="0" applyFont="1" applyFill="1" applyBorder="1" applyAlignment="1">
      <alignment horizontal="center" vertical="center"/>
    </xf>
    <xf numFmtId="37" fontId="70" fillId="9" borderId="1" xfId="0" applyNumberFormat="1" applyFont="1" applyFill="1" applyBorder="1" applyAlignment="1" applyProtection="1">
      <alignment horizontal="center" vertical="center"/>
      <protection hidden="1"/>
    </xf>
    <xf numFmtId="0" fontId="20" fillId="2" borderId="0" xfId="2" applyNumberFormat="1" applyFill="1" applyBorder="1" applyAlignment="1" applyProtection="1"/>
    <xf numFmtId="0" fontId="71" fillId="2" borderId="2" xfId="0" applyFont="1" applyFill="1" applyBorder="1" applyAlignment="1">
      <alignment horizontal="center"/>
    </xf>
    <xf numFmtId="1" fontId="71" fillId="2" borderId="2" xfId="0" applyNumberFormat="1" applyFont="1" applyFill="1" applyBorder="1" applyAlignment="1">
      <alignment horizontal="center"/>
    </xf>
    <xf numFmtId="0" fontId="66" fillId="4" borderId="0" xfId="0" applyFont="1" applyFill="1"/>
    <xf numFmtId="0" fontId="72" fillId="2" borderId="3" xfId="0" applyFont="1" applyFill="1" applyBorder="1"/>
    <xf numFmtId="0" fontId="73" fillId="2" borderId="3" xfId="0" applyFont="1" applyFill="1" applyBorder="1" applyAlignment="1">
      <alignment horizontal="center"/>
    </xf>
    <xf numFmtId="0" fontId="6" fillId="0" borderId="0" xfId="0" applyFont="1" applyAlignment="1" applyProtection="1">
      <alignment vertical="center"/>
      <protection locked="0"/>
    </xf>
    <xf numFmtId="0" fontId="76" fillId="0" borderId="0" xfId="0" quotePrefix="1" applyFont="1" applyAlignment="1" applyProtection="1">
      <alignment horizontal="center" vertical="center"/>
      <protection hidden="1"/>
    </xf>
    <xf numFmtId="0" fontId="76" fillId="2" borderId="0" xfId="0" applyFont="1" applyFill="1" applyAlignment="1">
      <alignment horizontal="right" vertical="center"/>
    </xf>
    <xf numFmtId="0" fontId="76" fillId="2" borderId="0" xfId="0" applyFont="1" applyFill="1" applyAlignment="1">
      <alignment horizontal="left" vertical="center"/>
    </xf>
    <xf numFmtId="0" fontId="76" fillId="2" borderId="0" xfId="0" applyFont="1" applyFill="1" applyAlignment="1">
      <alignment vertical="center"/>
    </xf>
    <xf numFmtId="37" fontId="70" fillId="9" borderId="22" xfId="0" applyNumberFormat="1" applyFont="1" applyFill="1" applyBorder="1" applyAlignment="1" applyProtection="1">
      <alignment horizontal="center" vertical="center"/>
      <protection hidden="1"/>
    </xf>
    <xf numFmtId="0" fontId="77" fillId="2" borderId="0" xfId="0" applyFont="1" applyFill="1" applyAlignment="1">
      <alignment vertical="center"/>
    </xf>
    <xf numFmtId="165" fontId="77" fillId="0" borderId="1" xfId="5" applyNumberFormat="1" applyFont="1" applyFill="1" applyBorder="1" applyAlignment="1" applyProtection="1">
      <alignment horizontal="right" vertical="center"/>
      <protection hidden="1"/>
    </xf>
    <xf numFmtId="0" fontId="69" fillId="2" borderId="3" xfId="0" applyFont="1" applyFill="1" applyBorder="1" applyAlignment="1">
      <alignment vertical="center"/>
    </xf>
    <xf numFmtId="37" fontId="70" fillId="9" borderId="0" xfId="0" applyNumberFormat="1" applyFont="1" applyFill="1" applyAlignment="1" applyProtection="1">
      <alignment horizontal="right" vertical="center"/>
      <protection hidden="1"/>
    </xf>
    <xf numFmtId="0" fontId="68" fillId="7" borderId="24" xfId="2" applyFont="1" applyFill="1" applyBorder="1" applyAlignment="1" applyProtection="1">
      <alignment vertical="center"/>
      <protection locked="0"/>
    </xf>
    <xf numFmtId="0" fontId="68" fillId="7" borderId="31" xfId="2" applyFont="1" applyFill="1" applyBorder="1" applyAlignment="1" applyProtection="1">
      <alignment vertical="center"/>
      <protection locked="0"/>
    </xf>
    <xf numFmtId="0" fontId="5" fillId="0" borderId="0" xfId="0" quotePrefix="1" applyFont="1" applyAlignment="1" applyProtection="1">
      <alignment horizontal="center"/>
      <protection hidden="1"/>
    </xf>
    <xf numFmtId="0" fontId="76" fillId="0" borderId="0" xfId="0" applyFont="1" applyAlignment="1" applyProtection="1">
      <alignment vertical="center"/>
      <protection hidden="1"/>
    </xf>
    <xf numFmtId="0" fontId="5" fillId="2" borderId="6" xfId="0" applyFont="1" applyFill="1" applyBorder="1" applyAlignment="1">
      <alignment horizontal="center" vertical="center"/>
    </xf>
    <xf numFmtId="0" fontId="36" fillId="2" borderId="7" xfId="0" applyFont="1" applyFill="1" applyBorder="1" applyAlignment="1">
      <alignment horizontal="center" vertical="center"/>
    </xf>
    <xf numFmtId="0" fontId="6" fillId="0" borderId="0" xfId="0" applyFont="1" applyAlignment="1" applyProtection="1">
      <alignment vertical="center"/>
      <protection locked="0" hidden="1"/>
    </xf>
    <xf numFmtId="0" fontId="29" fillId="0" borderId="0" xfId="0" applyFont="1" applyAlignment="1" applyProtection="1">
      <alignment horizontal="center" vertical="center"/>
      <protection hidden="1"/>
    </xf>
    <xf numFmtId="0" fontId="76" fillId="2" borderId="5" xfId="0" applyFont="1" applyFill="1" applyBorder="1" applyAlignment="1">
      <alignment horizontal="center"/>
    </xf>
    <xf numFmtId="0" fontId="76" fillId="9" borderId="0" xfId="0" quotePrefix="1" applyFont="1" applyFill="1" applyAlignment="1" applyProtection="1">
      <alignment horizontal="center" vertical="center"/>
      <protection hidden="1"/>
    </xf>
    <xf numFmtId="0" fontId="76" fillId="2" borderId="3" xfId="0" applyFont="1" applyFill="1" applyBorder="1" applyAlignment="1">
      <alignment horizontal="center" vertical="center"/>
    </xf>
    <xf numFmtId="0" fontId="28" fillId="0" borderId="0" xfId="0" applyFont="1"/>
    <xf numFmtId="0" fontId="6" fillId="0" borderId="0" xfId="0" applyFont="1" applyAlignment="1" applyProtection="1">
      <alignment vertical="top" wrapText="1"/>
      <protection hidden="1"/>
    </xf>
    <xf numFmtId="0" fontId="22" fillId="2" borderId="0" xfId="0" applyFont="1" applyFill="1" applyAlignment="1">
      <alignment horizontal="left" vertical="center"/>
    </xf>
    <xf numFmtId="0" fontId="22" fillId="2" borderId="3" xfId="0" applyFont="1" applyFill="1" applyBorder="1" applyAlignment="1">
      <alignment horizontal="left" vertical="center" indent="1"/>
    </xf>
    <xf numFmtId="166" fontId="6" fillId="0" borderId="1" xfId="0" applyNumberFormat="1" applyFont="1" applyBorder="1" applyAlignment="1" applyProtection="1">
      <alignment horizontal="center"/>
      <protection locked="0" hidden="1"/>
    </xf>
    <xf numFmtId="0" fontId="6" fillId="0" borderId="0" xfId="0" applyFont="1" applyAlignment="1" applyProtection="1">
      <alignment horizontal="left" vertical="top" wrapText="1"/>
      <protection hidden="1"/>
    </xf>
    <xf numFmtId="0" fontId="6" fillId="0" borderId="0" xfId="0" applyFont="1" applyAlignment="1" applyProtection="1">
      <alignment horizontal="right" vertical="top"/>
      <protection hidden="1"/>
    </xf>
    <xf numFmtId="168" fontId="70" fillId="9" borderId="1" xfId="0" applyNumberFormat="1" applyFont="1" applyFill="1" applyBorder="1" applyAlignment="1" applyProtection="1">
      <alignment horizontal="right" vertical="center"/>
      <protection hidden="1"/>
    </xf>
    <xf numFmtId="0" fontId="79" fillId="4" borderId="0" xfId="0" applyFont="1" applyFill="1"/>
    <xf numFmtId="0" fontId="80" fillId="4" borderId="0" xfId="0" applyFont="1" applyFill="1" applyAlignment="1">
      <alignment horizontal="center"/>
    </xf>
    <xf numFmtId="0" fontId="7" fillId="2" borderId="0" xfId="0" applyFont="1" applyFill="1" applyAlignment="1">
      <alignment horizontal="center"/>
    </xf>
    <xf numFmtId="0" fontId="7" fillId="2" borderId="0" xfId="0" applyFont="1" applyFill="1" applyAlignment="1">
      <alignment horizontal="center" vertical="center"/>
    </xf>
    <xf numFmtId="0" fontId="19" fillId="2" borderId="3" xfId="0" applyFont="1" applyFill="1" applyBorder="1" applyProtection="1">
      <protection locked="0"/>
    </xf>
    <xf numFmtId="0" fontId="75" fillId="2" borderId="3" xfId="0" applyFont="1" applyFill="1" applyBorder="1" applyAlignment="1">
      <alignment horizontal="center"/>
    </xf>
    <xf numFmtId="0" fontId="19" fillId="2" borderId="0" xfId="0" applyFont="1" applyFill="1" applyAlignment="1">
      <alignment horizontal="left" wrapText="1"/>
    </xf>
    <xf numFmtId="0" fontId="6" fillId="2" borderId="2" xfId="0" quotePrefix="1" applyFont="1" applyFill="1" applyBorder="1" applyAlignment="1">
      <alignment vertical="center" wrapText="1"/>
    </xf>
    <xf numFmtId="0" fontId="32" fillId="2" borderId="2" xfId="0" applyFont="1" applyFill="1" applyBorder="1" applyAlignment="1">
      <alignment horizontal="left" vertical="center"/>
    </xf>
    <xf numFmtId="166" fontId="81" fillId="4" borderId="1" xfId="0" applyNumberFormat="1" applyFont="1" applyFill="1" applyBorder="1" applyAlignment="1" applyProtection="1">
      <alignment shrinkToFit="1"/>
      <protection locked="0" hidden="1"/>
    </xf>
    <xf numFmtId="0" fontId="28" fillId="0" borderId="0" xfId="0" applyFont="1" applyAlignment="1">
      <alignment horizontal="center"/>
    </xf>
    <xf numFmtId="0" fontId="58" fillId="7" borderId="23" xfId="0" applyFont="1" applyFill="1" applyBorder="1" applyAlignment="1">
      <alignment horizontal="center" vertical="center"/>
    </xf>
    <xf numFmtId="0" fontId="19" fillId="0" borderId="24" xfId="0" applyFont="1" applyBorder="1" applyAlignment="1">
      <alignment horizontal="center" vertical="center"/>
    </xf>
    <xf numFmtId="0" fontId="19" fillId="0" borderId="31" xfId="0" applyFont="1" applyBorder="1" applyAlignment="1">
      <alignment horizontal="center" vertical="center"/>
    </xf>
    <xf numFmtId="49" fontId="20" fillId="4" borderId="21" xfId="2" applyNumberFormat="1" applyFill="1" applyBorder="1" applyAlignment="1" applyProtection="1">
      <alignment horizontal="left" vertical="center" indent="1"/>
      <protection locked="0"/>
    </xf>
    <xf numFmtId="0" fontId="61" fillId="0" borderId="22" xfId="0" applyFont="1" applyBorder="1" applyProtection="1">
      <protection locked="0"/>
    </xf>
    <xf numFmtId="0" fontId="61" fillId="0" borderId="25" xfId="0" applyFont="1" applyBorder="1" applyProtection="1">
      <protection locked="0"/>
    </xf>
    <xf numFmtId="0" fontId="6" fillId="2" borderId="2" xfId="0" applyFont="1" applyFill="1" applyBorder="1" applyAlignment="1">
      <alignment horizontal="center"/>
    </xf>
    <xf numFmtId="0" fontId="6" fillId="4" borderId="21" xfId="0" applyFont="1" applyFill="1" applyBorder="1" applyAlignment="1" applyProtection="1">
      <alignment horizontal="center" vertical="center"/>
      <protection locked="0"/>
    </xf>
    <xf numFmtId="0" fontId="6" fillId="4" borderId="22" xfId="0" applyFont="1" applyFill="1" applyBorder="1" applyAlignment="1" applyProtection="1">
      <alignment horizontal="center" vertical="center"/>
      <protection locked="0"/>
    </xf>
    <xf numFmtId="0" fontId="6" fillId="4" borderId="25" xfId="0" applyFont="1" applyFill="1" applyBorder="1" applyAlignment="1" applyProtection="1">
      <alignment horizontal="center" vertical="center"/>
      <protection locked="0"/>
    </xf>
    <xf numFmtId="0" fontId="22" fillId="2" borderId="0" xfId="0" applyFont="1" applyFill="1" applyAlignment="1">
      <alignment horizontal="left" vertical="center" wrapText="1"/>
    </xf>
    <xf numFmtId="0" fontId="27" fillId="0" borderId="0" xfId="0" applyFont="1" applyAlignment="1">
      <alignment horizontal="left" vertical="center" wrapText="1"/>
    </xf>
    <xf numFmtId="0" fontId="6" fillId="4" borderId="21" xfId="0" applyFont="1" applyFill="1" applyBorder="1" applyAlignment="1" applyProtection="1">
      <alignment horizontal="left" vertical="center" indent="1"/>
      <protection locked="0"/>
    </xf>
    <xf numFmtId="0" fontId="9" fillId="0" borderId="22" xfId="0" applyFont="1" applyBorder="1" applyProtection="1">
      <protection locked="0"/>
    </xf>
    <xf numFmtId="0" fontId="9" fillId="0" borderId="25" xfId="0" applyFont="1" applyBorder="1" applyProtection="1">
      <protection locked="0"/>
    </xf>
    <xf numFmtId="0" fontId="6" fillId="4" borderId="25" xfId="0" applyFont="1" applyFill="1" applyBorder="1" applyAlignment="1" applyProtection="1">
      <alignment horizontal="left" vertical="center" indent="1"/>
      <protection locked="0"/>
    </xf>
    <xf numFmtId="49" fontId="6" fillId="4" borderId="21" xfId="0" applyNumberFormat="1" applyFont="1" applyFill="1" applyBorder="1" applyAlignment="1" applyProtection="1">
      <alignment horizontal="left" vertical="center" indent="1"/>
      <protection locked="0"/>
    </xf>
    <xf numFmtId="49" fontId="6" fillId="4" borderId="25" xfId="0" applyNumberFormat="1" applyFont="1" applyFill="1" applyBorder="1" applyAlignment="1" applyProtection="1">
      <alignment horizontal="left" vertical="center" indent="1"/>
      <protection locked="0"/>
    </xf>
    <xf numFmtId="49" fontId="20" fillId="4" borderId="22" xfId="2" applyNumberFormat="1" applyFill="1" applyBorder="1" applyAlignment="1" applyProtection="1">
      <alignment horizontal="left" vertical="center" indent="1"/>
      <protection locked="0"/>
    </xf>
    <xf numFmtId="49" fontId="20" fillId="4" borderId="25" xfId="2" applyNumberFormat="1" applyFill="1" applyBorder="1" applyAlignment="1" applyProtection="1">
      <alignment horizontal="left" vertical="center" indent="1"/>
      <protection locked="0"/>
    </xf>
    <xf numFmtId="0" fontId="6"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6" fillId="0" borderId="0" xfId="0" quotePrefix="1" applyFont="1" applyAlignment="1">
      <alignment horizontal="center" vertical="center"/>
    </xf>
    <xf numFmtId="0" fontId="6" fillId="3" borderId="17" xfId="0" quotePrefix="1" applyFont="1" applyFill="1" applyBorder="1" applyAlignment="1">
      <alignment horizontal="center" vertical="center" wrapText="1"/>
    </xf>
    <xf numFmtId="0" fontId="6" fillId="3" borderId="18" xfId="0" quotePrefix="1" applyFont="1" applyFill="1" applyBorder="1" applyAlignment="1">
      <alignment horizontal="center" vertical="center" wrapText="1"/>
    </xf>
    <xf numFmtId="0" fontId="6" fillId="3" borderId="19" xfId="0" quotePrefix="1" applyFont="1" applyFill="1" applyBorder="1" applyAlignment="1">
      <alignment horizontal="center" vertical="center" wrapText="1"/>
    </xf>
    <xf numFmtId="0" fontId="6" fillId="3" borderId="3" xfId="0" quotePrefix="1" applyFont="1" applyFill="1" applyBorder="1" applyAlignment="1">
      <alignment horizontal="center" vertical="center" wrapText="1"/>
    </xf>
    <xf numFmtId="0" fontId="6" fillId="3" borderId="0" xfId="0" quotePrefix="1" applyFont="1" applyFill="1" applyAlignment="1">
      <alignment horizontal="center" vertical="center" wrapText="1"/>
    </xf>
    <xf numFmtId="0" fontId="6" fillId="3" borderId="2" xfId="0" quotePrefix="1" applyFont="1" applyFill="1" applyBorder="1" applyAlignment="1">
      <alignment horizontal="center" vertical="center" wrapText="1"/>
    </xf>
    <xf numFmtId="0" fontId="6" fillId="3" borderId="6" xfId="0" quotePrefix="1" applyFont="1" applyFill="1" applyBorder="1" applyAlignment="1">
      <alignment horizontal="center" vertical="center" wrapText="1"/>
    </xf>
    <xf numFmtId="0" fontId="6" fillId="3" borderId="7" xfId="0" quotePrefix="1" applyFont="1" applyFill="1" applyBorder="1" applyAlignment="1">
      <alignment horizontal="center" vertical="center" wrapText="1"/>
    </xf>
    <xf numFmtId="0" fontId="6" fillId="3" borderId="8" xfId="0" quotePrefix="1" applyFont="1" applyFill="1" applyBorder="1" applyAlignment="1">
      <alignment horizontal="center" vertical="center" wrapText="1"/>
    </xf>
    <xf numFmtId="0" fontId="6" fillId="2" borderId="8" xfId="0" applyFont="1" applyFill="1" applyBorder="1" applyAlignment="1">
      <alignment horizontal="center"/>
    </xf>
    <xf numFmtId="0" fontId="6" fillId="3" borderId="0" xfId="0" applyFont="1" applyFill="1" applyAlignment="1">
      <alignment horizontal="left" vertical="center" wrapText="1"/>
    </xf>
    <xf numFmtId="0" fontId="5" fillId="0" borderId="0" xfId="0" applyFont="1" applyAlignment="1">
      <alignment horizontal="center" vertical="center"/>
    </xf>
    <xf numFmtId="49" fontId="60" fillId="8" borderId="32" xfId="0" applyNumberFormat="1" applyFont="1" applyFill="1" applyBorder="1" applyAlignment="1">
      <alignment horizontal="center" vertical="center"/>
    </xf>
    <xf numFmtId="49" fontId="60" fillId="8" borderId="33" xfId="0" applyNumberFormat="1" applyFont="1" applyFill="1" applyBorder="1" applyAlignment="1">
      <alignment horizontal="center" vertical="center"/>
    </xf>
    <xf numFmtId="49" fontId="60" fillId="8" borderId="34" xfId="0" applyNumberFormat="1" applyFont="1" applyFill="1" applyBorder="1" applyAlignment="1">
      <alignment horizontal="center" vertical="center"/>
    </xf>
    <xf numFmtId="0" fontId="60" fillId="8" borderId="26" xfId="0" applyFont="1" applyFill="1" applyBorder="1" applyAlignment="1">
      <alignment horizontal="center"/>
    </xf>
    <xf numFmtId="0" fontId="60" fillId="8" borderId="0" xfId="0" applyFont="1" applyFill="1" applyAlignment="1">
      <alignment horizontal="center"/>
    </xf>
    <xf numFmtId="0" fontId="60" fillId="8" borderId="27" xfId="0" applyFont="1" applyFill="1" applyBorder="1" applyAlignment="1">
      <alignment horizontal="center"/>
    </xf>
    <xf numFmtId="0" fontId="59" fillId="8" borderId="28" xfId="0" quotePrefix="1" applyFont="1" applyFill="1" applyBorder="1" applyAlignment="1">
      <alignment horizontal="center"/>
    </xf>
    <xf numFmtId="0" fontId="59" fillId="8" borderId="29" xfId="0" quotePrefix="1" applyFont="1" applyFill="1" applyBorder="1" applyAlignment="1">
      <alignment horizontal="center"/>
    </xf>
    <xf numFmtId="0" fontId="59" fillId="8" borderId="30" xfId="0" quotePrefix="1" applyFont="1" applyFill="1" applyBorder="1" applyAlignment="1">
      <alignment horizontal="center"/>
    </xf>
    <xf numFmtId="0" fontId="32" fillId="3" borderId="0" xfId="0" quotePrefix="1" applyFont="1" applyFill="1" applyAlignment="1">
      <alignment horizontal="center" wrapText="1"/>
    </xf>
    <xf numFmtId="0" fontId="6" fillId="11" borderId="35" xfId="0" applyFont="1" applyFill="1" applyBorder="1" applyAlignment="1">
      <alignment horizontal="center" vertical="center" wrapText="1"/>
    </xf>
    <xf numFmtId="0" fontId="6" fillId="11" borderId="36" xfId="0" applyFont="1" applyFill="1" applyBorder="1" applyAlignment="1">
      <alignment horizontal="center" vertical="center" wrapText="1"/>
    </xf>
    <xf numFmtId="0" fontId="6" fillId="11" borderId="37" xfId="0" applyFont="1" applyFill="1" applyBorder="1" applyAlignment="1">
      <alignment horizontal="center" vertical="center" wrapText="1"/>
    </xf>
    <xf numFmtId="0" fontId="6" fillId="11" borderId="38" xfId="0" applyFont="1" applyFill="1" applyBorder="1" applyAlignment="1">
      <alignment horizontal="center" vertical="center" wrapText="1"/>
    </xf>
    <xf numFmtId="0" fontId="6" fillId="11" borderId="0" xfId="0" applyFont="1" applyFill="1" applyAlignment="1">
      <alignment horizontal="center" vertical="center" wrapText="1"/>
    </xf>
    <xf numFmtId="0" fontId="6" fillId="11" borderId="39" xfId="0" applyFont="1" applyFill="1" applyBorder="1" applyAlignment="1">
      <alignment horizontal="center" vertical="center" wrapText="1"/>
    </xf>
    <xf numFmtId="0" fontId="6" fillId="11" borderId="40" xfId="0" applyFont="1" applyFill="1" applyBorder="1" applyAlignment="1">
      <alignment horizontal="center" vertical="center" wrapText="1"/>
    </xf>
    <xf numFmtId="0" fontId="6" fillId="11" borderId="41" xfId="0" applyFont="1" applyFill="1" applyBorder="1" applyAlignment="1">
      <alignment horizontal="center" vertical="center" wrapText="1"/>
    </xf>
    <xf numFmtId="0" fontId="6" fillId="11" borderId="42" xfId="0" applyFont="1" applyFill="1" applyBorder="1" applyAlignment="1">
      <alignment horizontal="center" vertical="center" wrapText="1"/>
    </xf>
    <xf numFmtId="0" fontId="18" fillId="0" borderId="0" xfId="0" applyFont="1" applyAlignment="1">
      <alignment horizontal="center"/>
    </xf>
    <xf numFmtId="0" fontId="29" fillId="0" borderId="0" xfId="0" applyFont="1" applyAlignment="1">
      <alignment horizontal="center"/>
    </xf>
    <xf numFmtId="0" fontId="57" fillId="7" borderId="23" xfId="0" applyFont="1" applyFill="1" applyBorder="1" applyAlignment="1">
      <alignment horizontal="center" vertical="center"/>
    </xf>
    <xf numFmtId="0" fontId="22" fillId="2" borderId="0" xfId="0" applyFont="1" applyFill="1" applyAlignment="1">
      <alignment horizontal="left" vertical="center"/>
    </xf>
    <xf numFmtId="0" fontId="6" fillId="0" borderId="0" xfId="0" applyFont="1" applyAlignment="1">
      <alignment horizontal="left" vertical="center"/>
    </xf>
    <xf numFmtId="0" fontId="5" fillId="2" borderId="2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1" fillId="7" borderId="23" xfId="0" applyFont="1" applyFill="1" applyBorder="1" applyAlignment="1" applyProtection="1">
      <alignment horizontal="center" vertical="center" wrapText="1"/>
      <protection locked="0"/>
    </xf>
    <xf numFmtId="0" fontId="31" fillId="7" borderId="24" xfId="0" applyFont="1" applyFill="1" applyBorder="1" applyAlignment="1" applyProtection="1">
      <alignment horizontal="center" vertical="center" wrapText="1"/>
      <protection locked="0"/>
    </xf>
    <xf numFmtId="0" fontId="29" fillId="0" borderId="0" xfId="0" applyFont="1" applyAlignment="1">
      <alignment horizontal="center" vertical="center"/>
    </xf>
    <xf numFmtId="0" fontId="5" fillId="2" borderId="20" xfId="0" applyFont="1" applyFill="1" applyBorder="1" applyAlignment="1">
      <alignment horizontal="center" vertical="center"/>
    </xf>
    <xf numFmtId="0" fontId="5" fillId="2" borderId="4" xfId="0" applyFont="1" applyFill="1" applyBorder="1" applyAlignment="1">
      <alignment horizontal="center" vertical="center"/>
    </xf>
    <xf numFmtId="0" fontId="20" fillId="5" borderId="0" xfId="0" applyFont="1" applyFill="1" applyAlignment="1" applyProtection="1">
      <alignment horizontal="center" wrapText="1"/>
      <protection locked="0"/>
    </xf>
    <xf numFmtId="0" fontId="58" fillId="7" borderId="23" xfId="0" applyFont="1" applyFill="1" applyBorder="1" applyAlignment="1">
      <alignment horizontal="center" vertical="center" wrapText="1"/>
    </xf>
    <xf numFmtId="0" fontId="58" fillId="7" borderId="24" xfId="0" applyFont="1" applyFill="1" applyBorder="1" applyAlignment="1">
      <alignment horizontal="center" vertical="center"/>
    </xf>
    <xf numFmtId="37" fontId="70" fillId="9" borderId="0" xfId="0" applyNumberFormat="1" applyFont="1" applyFill="1" applyAlignment="1" applyProtection="1">
      <alignment horizontal="center" vertical="center" wrapText="1"/>
      <protection hidden="1"/>
    </xf>
    <xf numFmtId="0" fontId="64" fillId="7" borderId="23" xfId="0" applyFont="1" applyFill="1" applyBorder="1" applyAlignment="1">
      <alignment horizontal="left" vertical="center" wrapText="1"/>
    </xf>
    <xf numFmtId="0" fontId="64" fillId="7" borderId="24" xfId="0" applyFont="1" applyFill="1" applyBorder="1" applyAlignment="1">
      <alignment horizontal="left" vertical="center"/>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46" fillId="5" borderId="0" xfId="0" applyFont="1" applyFill="1" applyAlignment="1">
      <alignment horizontal="center" vertical="center"/>
    </xf>
    <xf numFmtId="0" fontId="68" fillId="7" borderId="7" xfId="2" applyFont="1" applyFill="1" applyBorder="1" applyAlignment="1" applyProtection="1">
      <alignment horizontal="right" vertical="center"/>
      <protection locked="0"/>
    </xf>
    <xf numFmtId="0" fontId="68" fillId="7" borderId="8" xfId="2" applyFont="1" applyFill="1" applyBorder="1" applyAlignment="1" applyProtection="1">
      <alignment horizontal="right" vertical="center"/>
      <protection locked="0"/>
    </xf>
    <xf numFmtId="0" fontId="6" fillId="2" borderId="0" xfId="0" applyFont="1" applyFill="1" applyAlignment="1">
      <alignment horizontal="left" vertical="center" wrapText="1"/>
    </xf>
    <xf numFmtId="0" fontId="69" fillId="2" borderId="0" xfId="0" applyFont="1" applyFill="1" applyAlignment="1">
      <alignment horizontal="right" vertical="center"/>
    </xf>
    <xf numFmtId="0" fontId="0" fillId="0" borderId="0" xfId="0" applyAlignment="1">
      <alignment vertical="center"/>
    </xf>
    <xf numFmtId="0" fontId="0" fillId="0" borderId="13" xfId="0" applyBorder="1" applyAlignment="1">
      <alignment vertical="center"/>
    </xf>
    <xf numFmtId="37" fontId="6" fillId="0" borderId="21" xfId="0" applyNumberFormat="1" applyFont="1" applyBorder="1" applyAlignment="1" applyProtection="1">
      <alignment horizontal="left" vertical="center"/>
      <protection locked="0"/>
    </xf>
    <xf numFmtId="37" fontId="6" fillId="0" borderId="22" xfId="0" applyNumberFormat="1" applyFont="1" applyBorder="1" applyAlignment="1" applyProtection="1">
      <alignment horizontal="left" vertical="center"/>
      <protection locked="0"/>
    </xf>
    <xf numFmtId="37" fontId="6" fillId="0" borderId="25" xfId="0" applyNumberFormat="1" applyFont="1" applyBorder="1" applyAlignment="1" applyProtection="1">
      <alignment horizontal="left" vertical="center"/>
      <protection locked="0"/>
    </xf>
    <xf numFmtId="0" fontId="68" fillId="7" borderId="24" xfId="2" applyFont="1" applyFill="1" applyBorder="1" applyAlignment="1" applyProtection="1">
      <alignment horizontal="right" vertical="center"/>
      <protection locked="0"/>
    </xf>
    <xf numFmtId="0" fontId="68" fillId="7" borderId="31" xfId="2" applyFont="1" applyFill="1" applyBorder="1" applyAlignment="1" applyProtection="1">
      <alignment horizontal="right" vertical="center"/>
      <protection locked="0"/>
    </xf>
    <xf numFmtId="0" fontId="58" fillId="7" borderId="44" xfId="0" applyFont="1" applyFill="1" applyBorder="1" applyAlignment="1">
      <alignment horizontal="center" vertical="center"/>
    </xf>
    <xf numFmtId="0" fontId="58" fillId="7" borderId="43" xfId="0" applyFont="1" applyFill="1" applyBorder="1" applyAlignment="1">
      <alignment horizontal="center" vertical="center"/>
    </xf>
    <xf numFmtId="0" fontId="5" fillId="2" borderId="3" xfId="0" applyFont="1" applyFill="1" applyBorder="1" applyAlignment="1">
      <alignment horizontal="center" vertical="center"/>
    </xf>
    <xf numFmtId="0" fontId="58" fillId="7" borderId="54" xfId="0" applyFont="1" applyFill="1" applyBorder="1" applyAlignment="1">
      <alignment horizontal="center" vertical="center"/>
    </xf>
    <xf numFmtId="0" fontId="58" fillId="7" borderId="45" xfId="0" applyFont="1" applyFill="1" applyBorder="1" applyAlignment="1">
      <alignment horizontal="center" vertical="center"/>
    </xf>
    <xf numFmtId="0" fontId="69" fillId="2" borderId="3" xfId="0" applyFont="1" applyFill="1" applyBorder="1" applyAlignment="1">
      <alignment horizontal="right" vertical="center"/>
    </xf>
    <xf numFmtId="0" fontId="69" fillId="2" borderId="13" xfId="0" applyFont="1" applyFill="1" applyBorder="1" applyAlignment="1">
      <alignment horizontal="right" vertical="center"/>
    </xf>
    <xf numFmtId="0" fontId="25" fillId="2" borderId="0" xfId="0" applyFont="1" applyFill="1" applyAlignment="1">
      <alignment horizontal="center" vertical="center"/>
    </xf>
    <xf numFmtId="0" fontId="16" fillId="2" borderId="0" xfId="0" applyFont="1" applyFill="1" applyAlignment="1">
      <alignment horizontal="center" vertical="center"/>
    </xf>
    <xf numFmtId="0" fontId="6" fillId="2" borderId="41" xfId="0" applyFont="1" applyFill="1" applyBorder="1" applyAlignment="1">
      <alignment horizontal="left" vertical="top" wrapText="1"/>
    </xf>
    <xf numFmtId="0" fontId="0" fillId="0" borderId="0" xfId="0"/>
    <xf numFmtId="0" fontId="0" fillId="0" borderId="13" xfId="0" applyBorder="1"/>
    <xf numFmtId="0" fontId="69" fillId="2" borderId="0" xfId="0" applyFont="1" applyFill="1" applyAlignment="1">
      <alignment horizontal="right" vertical="top" wrapText="1"/>
    </xf>
    <xf numFmtId="0" fontId="64" fillId="7" borderId="23" xfId="0" applyFont="1" applyFill="1" applyBorder="1" applyAlignment="1">
      <alignment horizontal="right" vertical="center"/>
    </xf>
    <xf numFmtId="0" fontId="64" fillId="7" borderId="24" xfId="0" applyFont="1" applyFill="1" applyBorder="1" applyAlignment="1">
      <alignment horizontal="right" vertical="center"/>
    </xf>
    <xf numFmtId="49" fontId="5" fillId="2" borderId="0" xfId="0" applyNumberFormat="1" applyFont="1" applyFill="1" applyAlignment="1">
      <alignment horizontal="left" vertical="center" wrapText="1"/>
    </xf>
    <xf numFmtId="0" fontId="47" fillId="2" borderId="17" xfId="0" applyFont="1" applyFill="1" applyBorder="1" applyAlignment="1">
      <alignment horizontal="center" vertical="center"/>
    </xf>
    <xf numFmtId="0" fontId="47" fillId="2" borderId="18" xfId="0" applyFont="1" applyFill="1" applyBorder="1" applyAlignment="1">
      <alignment horizontal="center" vertical="center"/>
    </xf>
    <xf numFmtId="0" fontId="47" fillId="2" borderId="19" xfId="0" applyFont="1" applyFill="1" applyBorder="1" applyAlignment="1">
      <alignment horizontal="center" vertical="center"/>
    </xf>
    <xf numFmtId="0" fontId="0" fillId="0" borderId="0" xfId="0" applyAlignment="1">
      <alignment horizontal="right" vertical="center"/>
    </xf>
    <xf numFmtId="0" fontId="0" fillId="0" borderId="13" xfId="0" applyBorder="1" applyAlignment="1">
      <alignment horizontal="right" vertical="center"/>
    </xf>
    <xf numFmtId="0" fontId="28" fillId="0" borderId="0" xfId="0" quotePrefix="1" applyFont="1" applyAlignment="1">
      <alignment horizontal="center" vertical="center"/>
    </xf>
    <xf numFmtId="0" fontId="5" fillId="2" borderId="17"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19" xfId="0" applyFont="1" applyFill="1" applyBorder="1" applyAlignment="1">
      <alignment horizontal="center" vertical="center"/>
    </xf>
    <xf numFmtId="0" fontId="34" fillId="2" borderId="0" xfId="0" applyFont="1" applyFill="1" applyAlignment="1">
      <alignment horizontal="center" vertical="center" wrapText="1"/>
    </xf>
    <xf numFmtId="0" fontId="38" fillId="2" borderId="0" xfId="0" applyFont="1" applyFill="1" applyAlignment="1">
      <alignment horizontal="center" vertical="center" wrapText="1"/>
    </xf>
    <xf numFmtId="0" fontId="68" fillId="7" borderId="18" xfId="2" applyFont="1" applyFill="1" applyBorder="1" applyAlignment="1" applyProtection="1">
      <alignment horizontal="right" vertical="center"/>
      <protection locked="0"/>
    </xf>
    <xf numFmtId="0" fontId="68" fillId="7" borderId="19" xfId="2" applyFont="1" applyFill="1" applyBorder="1" applyAlignment="1" applyProtection="1">
      <alignment horizontal="right" vertical="center"/>
      <protection locked="0"/>
    </xf>
    <xf numFmtId="0" fontId="58" fillId="7" borderId="17" xfId="0" applyFont="1" applyFill="1" applyBorder="1" applyAlignment="1">
      <alignment horizontal="center" vertical="center"/>
    </xf>
    <xf numFmtId="0" fontId="58" fillId="7" borderId="18" xfId="0" applyFont="1" applyFill="1" applyBorder="1" applyAlignment="1">
      <alignment horizontal="center" vertical="center"/>
    </xf>
    <xf numFmtId="0" fontId="42" fillId="5" borderId="0" xfId="2" applyFont="1" applyFill="1" applyBorder="1" applyAlignment="1" applyProtection="1">
      <alignment horizontal="center" vertical="center"/>
      <protection locked="0"/>
    </xf>
    <xf numFmtId="0" fontId="41" fillId="2" borderId="0" xfId="0" applyFont="1" applyFill="1" applyAlignment="1">
      <alignment horizontal="left" vertical="center" wrapText="1"/>
    </xf>
    <xf numFmtId="0" fontId="6" fillId="0" borderId="21" xfId="0" applyFont="1" applyBorder="1" applyAlignment="1" applyProtection="1">
      <alignment horizontal="left" vertical="center"/>
      <protection locked="0" hidden="1"/>
    </xf>
    <xf numFmtId="0" fontId="6" fillId="0" borderId="22" xfId="0" applyFont="1" applyBorder="1" applyAlignment="1" applyProtection="1">
      <alignment horizontal="left" vertical="center"/>
      <protection locked="0" hidden="1"/>
    </xf>
    <xf numFmtId="0" fontId="6" fillId="0" borderId="25" xfId="0" applyFont="1" applyBorder="1" applyAlignment="1" applyProtection="1">
      <alignment horizontal="left" vertical="center"/>
      <protection locked="0" hidden="1"/>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70" fillId="2" borderId="0" xfId="0" applyFont="1" applyFill="1" applyAlignment="1">
      <alignment horizontal="center" vertical="center" wrapText="1"/>
    </xf>
    <xf numFmtId="0" fontId="6" fillId="2" borderId="18" xfId="0" applyFont="1" applyFill="1" applyBorder="1" applyAlignment="1">
      <alignment horizontal="left" vertical="top" wrapText="1"/>
    </xf>
    <xf numFmtId="0" fontId="78" fillId="12" borderId="7" xfId="0" applyFont="1" applyFill="1" applyBorder="1" applyAlignment="1">
      <alignment horizontal="left" vertical="center" wrapText="1"/>
    </xf>
    <xf numFmtId="0" fontId="6" fillId="10" borderId="46" xfId="0" applyFont="1" applyFill="1" applyBorder="1" applyAlignment="1" applyProtection="1">
      <alignment horizontal="left" vertical="top" wrapText="1"/>
      <protection locked="0"/>
    </xf>
    <xf numFmtId="0" fontId="6" fillId="10" borderId="47" xfId="0" applyFont="1" applyFill="1" applyBorder="1" applyAlignment="1" applyProtection="1">
      <alignment horizontal="left" vertical="top" wrapText="1"/>
      <protection locked="0"/>
    </xf>
    <xf numFmtId="0" fontId="6" fillId="10" borderId="48" xfId="0" applyFont="1" applyFill="1" applyBorder="1" applyAlignment="1" applyProtection="1">
      <alignment horizontal="left" vertical="top" wrapText="1"/>
      <protection locked="0"/>
    </xf>
    <xf numFmtId="0" fontId="6" fillId="10" borderId="49" xfId="0" applyFont="1" applyFill="1" applyBorder="1" applyAlignment="1" applyProtection="1">
      <alignment horizontal="left" vertical="top" wrapText="1"/>
      <protection locked="0"/>
    </xf>
    <xf numFmtId="0" fontId="6" fillId="10" borderId="0" xfId="0" applyFont="1" applyFill="1" applyAlignment="1" applyProtection="1">
      <alignment horizontal="left" vertical="top" wrapText="1"/>
      <protection locked="0"/>
    </xf>
    <xf numFmtId="0" fontId="6" fillId="10" borderId="50" xfId="0" applyFont="1" applyFill="1" applyBorder="1" applyAlignment="1" applyProtection="1">
      <alignment horizontal="left" vertical="top" wrapText="1"/>
      <protection locked="0"/>
    </xf>
    <xf numFmtId="0" fontId="6" fillId="10" borderId="51" xfId="0" applyFont="1" applyFill="1" applyBorder="1" applyAlignment="1" applyProtection="1">
      <alignment horizontal="left" vertical="top" wrapText="1"/>
      <protection locked="0"/>
    </xf>
    <xf numFmtId="0" fontId="6" fillId="10" borderId="52" xfId="0" applyFont="1" applyFill="1" applyBorder="1" applyAlignment="1" applyProtection="1">
      <alignment horizontal="left" vertical="top" wrapText="1"/>
      <protection locked="0"/>
    </xf>
    <xf numFmtId="0" fontId="6" fillId="10" borderId="53" xfId="0" applyFont="1" applyFill="1" applyBorder="1" applyAlignment="1" applyProtection="1">
      <alignment horizontal="left" vertical="top" wrapText="1"/>
      <protection locked="0"/>
    </xf>
    <xf numFmtId="0" fontId="6" fillId="2" borderId="0" xfId="0" applyFont="1" applyFill="1" applyAlignment="1">
      <alignment horizontal="left" vertical="top" wrapText="1"/>
    </xf>
    <xf numFmtId="37" fontId="70" fillId="9" borderId="7" xfId="0" applyNumberFormat="1" applyFont="1" applyFill="1" applyBorder="1" applyAlignment="1" applyProtection="1">
      <alignment horizontal="center" vertical="center" wrapText="1"/>
      <protection hidden="1"/>
    </xf>
    <xf numFmtId="0" fontId="5" fillId="2" borderId="0" xfId="0" applyFont="1" applyFill="1" applyAlignment="1">
      <alignment horizontal="center" vertical="center" wrapText="1"/>
    </xf>
    <xf numFmtId="0" fontId="6" fillId="2" borderId="0" xfId="0" applyFont="1" applyFill="1" applyAlignment="1">
      <alignment vertical="center"/>
    </xf>
    <xf numFmtId="0" fontId="6" fillId="2" borderId="2" xfId="0" applyFont="1" applyFill="1" applyBorder="1" applyAlignment="1">
      <alignment vertical="center"/>
    </xf>
    <xf numFmtId="0" fontId="6" fillId="0" borderId="0" xfId="0" quotePrefix="1" applyFont="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6" fillId="0" borderId="0" xfId="0" applyFont="1" applyAlignment="1" applyProtection="1">
      <alignment vertical="center" wrapText="1"/>
      <protection locked="0"/>
    </xf>
    <xf numFmtId="0" fontId="58" fillId="7" borderId="23" xfId="0" applyFont="1" applyFill="1" applyBorder="1" applyAlignment="1" applyProtection="1">
      <alignment horizontal="center" vertical="center"/>
      <protection hidden="1"/>
    </xf>
    <xf numFmtId="0" fontId="58" fillId="7" borderId="24" xfId="0" applyFont="1" applyFill="1" applyBorder="1" applyAlignment="1" applyProtection="1">
      <alignment horizontal="center" vertical="center"/>
      <protection hidden="1"/>
    </xf>
    <xf numFmtId="0" fontId="58" fillId="7" borderId="31" xfId="0" applyFont="1" applyFill="1" applyBorder="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horizontal="left" vertical="top" wrapText="1"/>
      <protection hidden="1"/>
    </xf>
    <xf numFmtId="0" fontId="5" fillId="0" borderId="0" xfId="0" quotePrefix="1" applyFont="1" applyAlignment="1" applyProtection="1">
      <alignment horizontal="left" vertical="center" wrapText="1"/>
      <protection hidden="1"/>
    </xf>
    <xf numFmtId="0" fontId="5" fillId="0" borderId="0" xfId="0" quotePrefix="1" applyFont="1" applyAlignment="1" applyProtection="1">
      <alignment vertical="center" wrapText="1"/>
      <protection hidden="1"/>
    </xf>
    <xf numFmtId="0" fontId="28" fillId="0" borderId="0" xfId="0" applyFont="1" applyAlignment="1" applyProtection="1">
      <alignment horizontal="center" vertical="center"/>
      <protection hidden="1"/>
    </xf>
    <xf numFmtId="0" fontId="6" fillId="0" borderId="0" xfId="0" applyFont="1" applyAlignment="1" applyProtection="1">
      <alignment horizontal="left" vertical="top" wrapText="1"/>
      <protection hidden="1"/>
    </xf>
    <xf numFmtId="0" fontId="6" fillId="0" borderId="0" xfId="0" applyFont="1" applyAlignment="1" applyProtection="1">
      <alignment horizontal="left" vertical="center"/>
      <protection hidden="1"/>
    </xf>
    <xf numFmtId="0" fontId="5" fillId="0" borderId="2" xfId="0" applyFont="1" applyBorder="1" applyAlignment="1" applyProtection="1">
      <alignment horizontal="center" vertical="center" wrapText="1"/>
      <protection hidden="1"/>
    </xf>
    <xf numFmtId="0" fontId="6" fillId="0" borderId="0" xfId="0" quotePrefix="1" applyFont="1" applyAlignment="1" applyProtection="1">
      <alignment horizontal="center" vertical="center" wrapText="1"/>
      <protection hidden="1"/>
    </xf>
    <xf numFmtId="0" fontId="5" fillId="0" borderId="0" xfId="0" quotePrefix="1" applyFont="1" applyAlignment="1" applyProtection="1">
      <alignment horizontal="center" vertical="center" wrapText="1"/>
      <protection hidden="1"/>
    </xf>
    <xf numFmtId="0" fontId="6" fillId="0" borderId="3"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17" xfId="0" applyFont="1" applyBorder="1" applyAlignment="1" applyProtection="1">
      <alignment horizontal="center" vertical="center" wrapText="1"/>
      <protection hidden="1"/>
    </xf>
    <xf numFmtId="0" fontId="6" fillId="0" borderId="18"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cellXfs>
  <cellStyles count="7">
    <cellStyle name="%" xfId="1" xr:uid="{00000000-0005-0000-0000-000000000000}"/>
    <cellStyle name="Hyperlink" xfId="2" builtinId="8" customBuiltin="1"/>
    <cellStyle name="Normal" xfId="0" builtinId="0"/>
    <cellStyle name="Normal 17" xfId="3" xr:uid="{00000000-0005-0000-0000-000004000000}"/>
    <cellStyle name="Normal 2" xfId="4" xr:uid="{00000000-0005-0000-0000-000005000000}"/>
    <cellStyle name="Normal 2 2" xfId="6" xr:uid="{00000000-0005-0000-0000-000006000000}"/>
    <cellStyle name="Percent" xfId="5" builtinId="5"/>
  </cellStyles>
  <dxfs count="24">
    <dxf>
      <font>
        <condense val="0"/>
        <extend val="0"/>
        <color indexed="10"/>
      </font>
      <fill>
        <patternFill>
          <bgColor indexed="43"/>
        </patternFill>
      </fill>
      <border>
        <left style="thin">
          <color indexed="10"/>
        </left>
        <right style="thin">
          <color indexed="10"/>
        </right>
        <top style="thin">
          <color indexed="10"/>
        </top>
        <bottom style="thin">
          <color indexed="1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9ECFF"/>
        </patternFill>
      </fill>
    </dxf>
    <dxf>
      <font>
        <color rgb="FF9C0006"/>
      </font>
      <fill>
        <patternFill>
          <bgColor rgb="FFFFC7CE"/>
        </patternFill>
      </fill>
    </dxf>
    <dxf>
      <font>
        <b/>
        <i val="0"/>
        <condense val="0"/>
        <extend val="0"/>
        <color indexed="10"/>
      </font>
    </dxf>
    <dxf>
      <font>
        <condense val="0"/>
        <extend val="0"/>
        <color indexed="8"/>
      </font>
      <fill>
        <patternFill>
          <bgColor indexed="8"/>
        </patternFill>
      </fill>
    </dxf>
    <dxf>
      <fill>
        <patternFill>
          <bgColor indexed="10"/>
        </patternFill>
      </fill>
    </dxf>
    <dxf>
      <font>
        <b/>
        <i val="0"/>
        <condense val="0"/>
        <extend val="0"/>
      </font>
      <fill>
        <patternFill>
          <bgColor indexed="5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9EC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CECEC"/>
      <rgbColor rgb="00808080"/>
      <rgbColor rgb="009999FF"/>
      <rgbColor rgb="00993366"/>
      <rgbColor rgb="00010000"/>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2B4F8F"/>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9ECFF"/>
      <color rgb="FF666699"/>
      <color rgb="FF003366"/>
      <color rgb="FFDFE4EC"/>
      <color rgb="FFE9EC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14</xdr:col>
      <xdr:colOff>6350</xdr:colOff>
      <xdr:row>5</xdr:row>
      <xdr:rowOff>6350</xdr:rowOff>
    </xdr:to>
    <xdr:pic>
      <xdr:nvPicPr>
        <xdr:cNvPr id="2700" name="Picture 1093">
          <a:extLst>
            <a:ext uri="{FF2B5EF4-FFF2-40B4-BE49-F238E27FC236}">
              <a16:creationId xmlns:a16="http://schemas.microsoft.com/office/drawing/2014/main" id="{00000000-0008-0000-0000-00008C0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0"/>
          <a:ext cx="6886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8</xdr:col>
      <xdr:colOff>1247587</xdr:colOff>
      <xdr:row>4</xdr:row>
      <xdr:rowOff>95250</xdr:rowOff>
    </xdr:to>
    <xdr:pic>
      <xdr:nvPicPr>
        <xdr:cNvPr id="35487" name="Picture 36">
          <a:extLst>
            <a:ext uri="{FF2B5EF4-FFF2-40B4-BE49-F238E27FC236}">
              <a16:creationId xmlns:a16="http://schemas.microsoft.com/office/drawing/2014/main" id="{00000000-0008-0000-0100-00009F8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0"/>
          <a:ext cx="74580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158750</xdr:colOff>
      <xdr:row>4</xdr:row>
      <xdr:rowOff>6350</xdr:rowOff>
    </xdr:to>
    <xdr:pic>
      <xdr:nvPicPr>
        <xdr:cNvPr id="3946" name="Picture 169">
          <a:extLst>
            <a:ext uri="{FF2B5EF4-FFF2-40B4-BE49-F238E27FC236}">
              <a16:creationId xmlns:a16="http://schemas.microsoft.com/office/drawing/2014/main" id="{00000000-0008-0000-0200-00006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77533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16</xdr:col>
      <xdr:colOff>0</xdr:colOff>
      <xdr:row>5</xdr:row>
      <xdr:rowOff>9525</xdr:rowOff>
    </xdr:to>
    <xdr:pic>
      <xdr:nvPicPr>
        <xdr:cNvPr id="25906" name="Picture 1093">
          <a:extLst>
            <a:ext uri="{FF2B5EF4-FFF2-40B4-BE49-F238E27FC236}">
              <a16:creationId xmlns:a16="http://schemas.microsoft.com/office/drawing/2014/main" id="{00000000-0008-0000-0300-0000326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69151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ipfa-my.sharepoint.com/sites/CIPFASolutions-AdvisoryData/Information%20Services/Surveys/Leisure%20and%20Culture/Public%20Libraries/2022/Questionnaire/libr21_qu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acts"/>
      <sheetName val="Service Points"/>
      <sheetName val="Questionnaire"/>
      <sheetName val="Guidance Notes"/>
      <sheetName val="Data"/>
      <sheetName val="LY"/>
      <sheetName val="Service_Points"/>
      <sheetName val="Guidance_Notes"/>
    </sheetNames>
    <sheetDataSet>
      <sheetData sheetId="0" refreshError="1"/>
      <sheetData sheetId="1" refreshError="1"/>
      <sheetData sheetId="2" refreshError="1"/>
      <sheetData sheetId="3" refreshError="1"/>
      <sheetData sheetId="4"/>
      <sheetData sheetId="5" refreshError="1"/>
      <sheetData sheetId="6"/>
      <sheetData sheetId="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rta.ruminska@edinburgh.gov.uk" TargetMode="External"/><Relationship Id="rId2" Type="http://schemas.openxmlformats.org/officeDocument/2006/relationships/hyperlink" Target="mailto:alison.stoddart@edinburgh.gov.uk" TargetMode="External"/><Relationship Id="rId1" Type="http://schemas.openxmlformats.org/officeDocument/2006/relationships/hyperlink" Target="mailto:libraries@cipfa.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libraries@cipf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pageSetUpPr autoPageBreaks="0"/>
  </sheetPr>
  <dimension ref="A1:O162"/>
  <sheetViews>
    <sheetView showGridLines="0" showRowColHeaders="0" tabSelected="1" defaultGridColor="0" colorId="22" zoomScaleNormal="100" zoomScaleSheetLayoutView="100" workbookViewId="0">
      <selection activeCell="C29" sqref="C29:L29"/>
    </sheetView>
  </sheetViews>
  <sheetFormatPr defaultColWidth="0" defaultRowHeight="12.75" customHeight="1" zeroHeight="1" x14ac:dyDescent="0.3"/>
  <cols>
    <col min="1" max="1" width="1.69140625" style="50" customWidth="1"/>
    <col min="2" max="2" width="1.3046875" style="50" customWidth="1"/>
    <col min="3" max="3" width="1.69140625" style="50" customWidth="1"/>
    <col min="4" max="4" width="7.4609375" style="50" customWidth="1"/>
    <col min="5" max="6" width="6.765625" style="50" customWidth="1"/>
    <col min="7" max="7" width="6.4609375" style="50" customWidth="1"/>
    <col min="8" max="8" width="9.765625" style="47" customWidth="1"/>
    <col min="9" max="9" width="8.84375" style="47" customWidth="1"/>
    <col min="10" max="10" width="12.765625" style="47" customWidth="1"/>
    <col min="11" max="11" width="4.765625" style="47" customWidth="1"/>
    <col min="12" max="12" width="10.765625" style="47" customWidth="1"/>
    <col min="13" max="13" width="1.69140625" style="47" customWidth="1"/>
    <col min="14" max="14" width="1.23046875" style="47" customWidth="1"/>
    <col min="15" max="15" width="1.69140625" style="50" customWidth="1"/>
    <col min="16" max="17" width="9.23046875" style="50" customWidth="1"/>
    <col min="18" max="16384" width="0" style="50" hidden="1"/>
  </cols>
  <sheetData>
    <row r="1" spans="1:15" ht="12.75" customHeight="1" x14ac:dyDescent="0.3">
      <c r="A1" s="437"/>
      <c r="B1" s="437"/>
      <c r="C1" s="437"/>
      <c r="D1" s="437"/>
      <c r="E1" s="437"/>
      <c r="F1" s="437"/>
      <c r="G1" s="437"/>
      <c r="H1" s="437"/>
      <c r="I1" s="437"/>
      <c r="J1" s="437"/>
      <c r="K1" s="437"/>
      <c r="L1" s="437"/>
      <c r="M1" s="437"/>
      <c r="N1" s="48"/>
    </row>
    <row r="2" spans="1:15" ht="12.75" customHeight="1" x14ac:dyDescent="0.3">
      <c r="A2" s="437"/>
      <c r="B2" s="437"/>
      <c r="C2" s="437"/>
      <c r="D2" s="437"/>
      <c r="E2" s="437"/>
      <c r="F2" s="437"/>
      <c r="G2" s="437"/>
      <c r="H2" s="437"/>
      <c r="I2" s="437"/>
      <c r="J2" s="437"/>
      <c r="K2" s="437"/>
      <c r="L2" s="437"/>
      <c r="M2" s="437"/>
    </row>
    <row r="3" spans="1:15" ht="12.75" customHeight="1" x14ac:dyDescent="0.3">
      <c r="A3" s="404"/>
      <c r="B3" s="437"/>
      <c r="C3" s="437"/>
      <c r="D3" s="437"/>
      <c r="E3" s="437"/>
      <c r="F3" s="437"/>
      <c r="G3" s="437"/>
      <c r="H3" s="437"/>
      <c r="I3" s="437"/>
      <c r="J3" s="437"/>
      <c r="K3" s="437"/>
      <c r="L3" s="437"/>
      <c r="M3" s="437"/>
    </row>
    <row r="4" spans="1:15" ht="12.75" customHeight="1" x14ac:dyDescent="0.3">
      <c r="A4" s="404"/>
      <c r="B4" s="437"/>
      <c r="C4" s="437"/>
      <c r="D4" s="437"/>
      <c r="E4" s="437"/>
      <c r="F4" s="437"/>
      <c r="G4" s="437"/>
      <c r="H4" s="437"/>
      <c r="I4" s="437"/>
      <c r="J4" s="437"/>
      <c r="K4" s="437"/>
      <c r="L4" s="437"/>
      <c r="M4" s="437"/>
    </row>
    <row r="5" spans="1:15" ht="12.75" customHeight="1" x14ac:dyDescent="0.3">
      <c r="A5" s="404"/>
      <c r="B5" s="381"/>
      <c r="C5" s="438"/>
      <c r="D5" s="437"/>
      <c r="E5" s="437"/>
      <c r="F5" s="437"/>
      <c r="G5" s="437"/>
      <c r="H5" s="437"/>
      <c r="I5" s="437"/>
      <c r="J5" s="437"/>
      <c r="K5" s="437"/>
      <c r="L5" s="437"/>
    </row>
    <row r="6" spans="1:15" ht="12.75" customHeight="1" x14ac:dyDescent="0.3">
      <c r="A6" s="404"/>
      <c r="B6" s="381"/>
      <c r="C6" s="45"/>
      <c r="D6" s="46"/>
      <c r="E6" s="46"/>
      <c r="F6" s="46"/>
      <c r="G6" s="46"/>
      <c r="H6" s="48"/>
      <c r="I6" s="48"/>
      <c r="J6" s="48"/>
      <c r="K6" s="48"/>
      <c r="L6" s="48"/>
    </row>
    <row r="7" spans="1:15" ht="12.75" customHeight="1" x14ac:dyDescent="0.3">
      <c r="A7" s="404"/>
      <c r="B7" s="381"/>
      <c r="C7" s="363" t="e">
        <f>CONCATENATE("PUBLIC LIBRARY STATISTICS ",Year,"-",Year-1999," ACTUALS AND ",Year+1,"-",Year-1998," ESTIMATES")</f>
        <v>#REF!</v>
      </c>
      <c r="H7" s="50"/>
      <c r="I7" s="50"/>
      <c r="J7" s="50"/>
      <c r="K7" s="50"/>
      <c r="L7" s="50"/>
    </row>
    <row r="8" spans="1:15" ht="12.75" customHeight="1" thickBot="1" x14ac:dyDescent="0.35">
      <c r="A8" s="404"/>
      <c r="B8" s="437"/>
      <c r="C8" s="437"/>
      <c r="D8" s="437"/>
      <c r="E8" s="437"/>
      <c r="F8" s="437"/>
      <c r="G8" s="437"/>
      <c r="H8" s="437"/>
      <c r="I8" s="437"/>
      <c r="J8" s="437"/>
      <c r="K8" s="437"/>
      <c r="L8" s="437"/>
      <c r="M8" s="437"/>
    </row>
    <row r="9" spans="1:15" ht="15.75" customHeight="1" thickBot="1" x14ac:dyDescent="0.35">
      <c r="A9" s="404"/>
      <c r="B9" s="382" t="s">
        <v>0</v>
      </c>
      <c r="C9" s="383"/>
      <c r="D9" s="383"/>
      <c r="E9" s="383"/>
      <c r="F9" s="383"/>
      <c r="G9" s="383"/>
      <c r="H9" s="383"/>
      <c r="I9" s="383"/>
      <c r="J9" s="383"/>
      <c r="K9" s="383"/>
      <c r="L9" s="383"/>
      <c r="M9" s="383"/>
      <c r="N9" s="384"/>
    </row>
    <row r="10" spans="1:15" s="123" customFormat="1" ht="15.75" customHeight="1" x14ac:dyDescent="0.2">
      <c r="A10" s="404"/>
      <c r="B10" s="134"/>
      <c r="C10" s="112"/>
      <c r="D10" s="112"/>
      <c r="E10" s="112"/>
      <c r="F10" s="112"/>
      <c r="G10" s="112"/>
      <c r="H10" s="112"/>
      <c r="I10" s="112"/>
      <c r="J10" s="112"/>
      <c r="K10" s="112"/>
      <c r="L10" s="373" t="s">
        <v>1</v>
      </c>
      <c r="M10" s="388"/>
      <c r="N10" s="388"/>
    </row>
    <row r="11" spans="1:15" s="123" customFormat="1" ht="15.75" customHeight="1" x14ac:dyDescent="0.2">
      <c r="A11" s="404"/>
      <c r="B11" s="134"/>
      <c r="C11" s="112"/>
      <c r="D11" s="112"/>
      <c r="E11" s="112"/>
      <c r="F11" s="145" t="s">
        <v>2</v>
      </c>
      <c r="G11" s="389" t="s">
        <v>390</v>
      </c>
      <c r="H11" s="390"/>
      <c r="I11" s="390"/>
      <c r="J11" s="391"/>
      <c r="K11" s="112"/>
      <c r="L11" s="374" t="e">
        <f>VLOOKUP(G11,#REF!,2,FALSE)</f>
        <v>#REF!</v>
      </c>
      <c r="M11" s="388"/>
      <c r="N11" s="388"/>
    </row>
    <row r="12" spans="1:15" s="123" customFormat="1" ht="15.75" customHeight="1" x14ac:dyDescent="0.2">
      <c r="A12" s="404"/>
      <c r="B12" s="134"/>
      <c r="C12" s="124"/>
      <c r="D12" s="15"/>
      <c r="E12" s="15"/>
      <c r="F12" s="15"/>
      <c r="G12" s="15"/>
      <c r="H12" s="15"/>
      <c r="I12" s="15"/>
      <c r="J12" s="15"/>
      <c r="K12" s="15"/>
      <c r="L12" s="15"/>
      <c r="M12" s="388"/>
      <c r="N12" s="388"/>
    </row>
    <row r="13" spans="1:15" s="125" customFormat="1" ht="12.75" customHeight="1" x14ac:dyDescent="0.2">
      <c r="A13" s="404"/>
      <c r="B13" s="134"/>
      <c r="C13" s="440" t="s">
        <v>3</v>
      </c>
      <c r="D13" s="441"/>
      <c r="E13" s="441"/>
      <c r="F13" s="441"/>
      <c r="G13" s="441"/>
      <c r="H13" s="441"/>
      <c r="I13" s="441"/>
      <c r="J13" s="441"/>
      <c r="K13" s="441"/>
      <c r="L13" s="17"/>
      <c r="M13" s="388"/>
      <c r="N13" s="388"/>
      <c r="O13" s="123"/>
    </row>
    <row r="14" spans="1:15" s="123" customFormat="1" ht="3.75" customHeight="1" x14ac:dyDescent="0.2">
      <c r="A14" s="404"/>
      <c r="B14" s="134"/>
      <c r="C14" s="15" t="s">
        <v>4</v>
      </c>
      <c r="D14" s="15"/>
      <c r="E14" s="15"/>
      <c r="F14" s="15"/>
      <c r="G14" s="15"/>
      <c r="H14" s="15"/>
      <c r="I14" s="15"/>
      <c r="J14" s="15"/>
      <c r="K14" s="15"/>
      <c r="L14" s="15"/>
      <c r="M14" s="388"/>
      <c r="N14" s="388"/>
    </row>
    <row r="15" spans="1:15" s="123" customFormat="1" ht="15.75" customHeight="1" x14ac:dyDescent="0.2">
      <c r="A15" s="404"/>
      <c r="B15" s="134"/>
      <c r="C15" s="114"/>
      <c r="D15" s="113" t="s">
        <v>5</v>
      </c>
      <c r="E15" s="394" t="s">
        <v>403</v>
      </c>
      <c r="F15" s="395"/>
      <c r="G15" s="396"/>
      <c r="H15" s="113" t="s">
        <v>7</v>
      </c>
      <c r="I15" s="394" t="s">
        <v>398</v>
      </c>
      <c r="J15" s="397"/>
      <c r="K15" s="113" t="s">
        <v>8</v>
      </c>
      <c r="L15" s="398" t="s">
        <v>403</v>
      </c>
      <c r="M15" s="399"/>
      <c r="N15" s="135"/>
    </row>
    <row r="16" spans="1:15" s="123" customFormat="1" ht="3.75" customHeight="1" x14ac:dyDescent="0.2">
      <c r="A16" s="404"/>
      <c r="B16" s="134"/>
      <c r="C16" s="115"/>
      <c r="D16" s="115"/>
      <c r="E16" s="115"/>
      <c r="F16" s="115"/>
      <c r="G16" s="115"/>
      <c r="H16" s="115"/>
      <c r="I16" s="115"/>
      <c r="J16" s="115"/>
      <c r="K16" s="115"/>
      <c r="L16" s="115"/>
      <c r="M16" s="388"/>
      <c r="N16" s="388"/>
    </row>
    <row r="17" spans="1:15" s="123" customFormat="1" ht="15.75" customHeight="1" x14ac:dyDescent="0.2">
      <c r="A17" s="404"/>
      <c r="B17" s="134"/>
      <c r="C17" s="114"/>
      <c r="D17" s="113" t="s">
        <v>9</v>
      </c>
      <c r="E17" s="385" t="s">
        <v>403</v>
      </c>
      <c r="F17" s="386"/>
      <c r="G17" s="386"/>
      <c r="H17" s="386"/>
      <c r="I17" s="386"/>
      <c r="J17" s="387"/>
      <c r="K17" s="115"/>
      <c r="L17" s="115"/>
      <c r="M17" s="388"/>
      <c r="N17" s="388"/>
    </row>
    <row r="18" spans="1:15" s="123" customFormat="1" ht="12.75" customHeight="1" x14ac:dyDescent="0.2">
      <c r="A18" s="404"/>
      <c r="B18" s="134"/>
      <c r="C18" s="115"/>
      <c r="D18" s="115"/>
      <c r="E18" s="115"/>
      <c r="F18" s="115"/>
      <c r="G18" s="115"/>
      <c r="H18" s="115"/>
      <c r="I18" s="115"/>
      <c r="J18" s="115"/>
      <c r="K18" s="115"/>
      <c r="L18" s="115"/>
      <c r="M18" s="388"/>
      <c r="N18" s="388"/>
    </row>
    <row r="19" spans="1:15" s="123" customFormat="1" ht="12.75" customHeight="1" x14ac:dyDescent="0.2">
      <c r="A19" s="404"/>
      <c r="B19" s="134"/>
      <c r="C19" s="392" t="s">
        <v>10</v>
      </c>
      <c r="D19" s="393"/>
      <c r="E19" s="393"/>
      <c r="F19" s="116"/>
      <c r="G19" s="116"/>
      <c r="H19" s="116"/>
      <c r="I19" s="116"/>
      <c r="J19" s="116"/>
      <c r="K19" s="116"/>
      <c r="L19" s="116"/>
      <c r="M19" s="388"/>
      <c r="N19" s="388"/>
    </row>
    <row r="20" spans="1:15" s="123" customFormat="1" ht="3.75" customHeight="1" x14ac:dyDescent="0.2">
      <c r="A20" s="404"/>
      <c r="B20" s="134"/>
      <c r="C20" s="115"/>
      <c r="D20" s="115"/>
      <c r="E20" s="115"/>
      <c r="F20" s="115"/>
      <c r="G20" s="115"/>
      <c r="H20" s="115"/>
      <c r="I20" s="115"/>
      <c r="J20" s="115"/>
      <c r="K20" s="115"/>
      <c r="L20" s="115"/>
      <c r="M20" s="388"/>
      <c r="N20" s="388"/>
    </row>
    <row r="21" spans="1:15" s="126" customFormat="1" ht="15.75" customHeight="1" x14ac:dyDescent="0.2">
      <c r="A21" s="404"/>
      <c r="B21" s="134"/>
      <c r="C21" s="114"/>
      <c r="D21" s="113" t="s">
        <v>5</v>
      </c>
      <c r="E21" s="394" t="s">
        <v>403</v>
      </c>
      <c r="F21" s="395"/>
      <c r="G21" s="396"/>
      <c r="H21" s="113" t="s">
        <v>7</v>
      </c>
      <c r="I21" s="394" t="s">
        <v>399</v>
      </c>
      <c r="J21" s="397"/>
      <c r="K21" s="113" t="s">
        <v>8</v>
      </c>
      <c r="L21" s="398" t="s">
        <v>403</v>
      </c>
      <c r="M21" s="399"/>
      <c r="N21" s="135"/>
      <c r="O21" s="123"/>
    </row>
    <row r="22" spans="1:15" s="123" customFormat="1" ht="3.75" customHeight="1" x14ac:dyDescent="0.2">
      <c r="A22" s="404"/>
      <c r="B22" s="134"/>
      <c r="C22" s="115"/>
      <c r="D22" s="115"/>
      <c r="E22" s="112"/>
      <c r="F22" s="112"/>
      <c r="G22" s="112"/>
      <c r="H22" s="112"/>
      <c r="I22" s="112"/>
      <c r="J22" s="112"/>
      <c r="K22" s="112"/>
      <c r="L22" s="112"/>
      <c r="M22" s="388"/>
      <c r="N22" s="388"/>
    </row>
    <row r="23" spans="1:15" s="126" customFormat="1" ht="15.75" customHeight="1" x14ac:dyDescent="0.2">
      <c r="A23" s="404"/>
      <c r="B23" s="134"/>
      <c r="C23" s="114"/>
      <c r="D23" s="113" t="s">
        <v>9</v>
      </c>
      <c r="E23" s="385" t="s">
        <v>403</v>
      </c>
      <c r="F23" s="386"/>
      <c r="G23" s="386"/>
      <c r="H23" s="386"/>
      <c r="I23" s="386"/>
      <c r="J23" s="387"/>
      <c r="K23" s="112"/>
      <c r="L23" s="112"/>
      <c r="M23" s="388"/>
      <c r="N23" s="388"/>
      <c r="O23" s="123"/>
    </row>
    <row r="24" spans="1:15" s="123" customFormat="1" ht="12.75" customHeight="1" x14ac:dyDescent="0.2">
      <c r="A24" s="404"/>
      <c r="B24" s="134"/>
      <c r="C24" s="115"/>
      <c r="D24" s="115"/>
      <c r="E24" s="115"/>
      <c r="F24" s="115"/>
      <c r="G24" s="115"/>
      <c r="H24" s="115"/>
      <c r="I24" s="115"/>
      <c r="J24" s="115"/>
      <c r="K24" s="115"/>
      <c r="L24" s="115"/>
      <c r="M24" s="388"/>
      <c r="N24" s="388"/>
    </row>
    <row r="25" spans="1:15" s="123" customFormat="1" ht="12.75" customHeight="1" x14ac:dyDescent="0.2">
      <c r="A25" s="404"/>
      <c r="B25" s="134"/>
      <c r="C25" s="392" t="s">
        <v>11</v>
      </c>
      <c r="D25" s="393"/>
      <c r="E25" s="393"/>
      <c r="F25" s="115"/>
      <c r="G25" s="115"/>
      <c r="H25" s="115"/>
      <c r="I25" s="115"/>
      <c r="J25" s="115"/>
      <c r="K25" s="115"/>
      <c r="L25" s="115"/>
      <c r="M25" s="112"/>
      <c r="N25" s="135"/>
    </row>
    <row r="26" spans="1:15" s="123" customFormat="1" ht="12.75" customHeight="1" x14ac:dyDescent="0.2">
      <c r="A26" s="404"/>
      <c r="B26" s="134"/>
      <c r="C26" s="133" t="s">
        <v>12</v>
      </c>
      <c r="D26" s="132"/>
      <c r="E26" s="132"/>
      <c r="F26" s="132"/>
      <c r="G26" s="132"/>
      <c r="H26" s="132"/>
      <c r="I26" s="132"/>
      <c r="J26" s="132"/>
      <c r="K26" s="132"/>
      <c r="L26" s="132"/>
      <c r="M26" s="112"/>
      <c r="N26" s="135"/>
    </row>
    <row r="27" spans="1:15" s="123" customFormat="1" ht="12.75" customHeight="1" x14ac:dyDescent="0.2">
      <c r="A27" s="404"/>
      <c r="B27" s="134"/>
      <c r="C27" s="133" t="s">
        <v>13</v>
      </c>
      <c r="D27" s="122"/>
      <c r="E27" s="122"/>
      <c r="F27" s="122"/>
      <c r="G27" s="122"/>
      <c r="H27" s="122"/>
      <c r="I27" s="122"/>
      <c r="J27" s="122"/>
      <c r="K27" s="122"/>
      <c r="L27" s="122"/>
      <c r="M27" s="112"/>
      <c r="N27" s="135"/>
    </row>
    <row r="28" spans="1:15" s="123" customFormat="1" ht="3.75" customHeight="1" x14ac:dyDescent="0.2">
      <c r="A28" s="404"/>
      <c r="B28" s="134"/>
      <c r="C28" s="122"/>
      <c r="D28" s="122"/>
      <c r="E28" s="122"/>
      <c r="F28" s="122"/>
      <c r="G28" s="122"/>
      <c r="H28" s="122"/>
      <c r="I28" s="122"/>
      <c r="J28" s="122"/>
      <c r="K28" s="122"/>
      <c r="L28" s="122"/>
      <c r="M28" s="112"/>
      <c r="N28" s="135"/>
    </row>
    <row r="29" spans="1:15" s="123" customFormat="1" ht="15.75" customHeight="1" x14ac:dyDescent="0.2">
      <c r="A29" s="404"/>
      <c r="B29" s="134"/>
      <c r="C29" s="385" t="s">
        <v>403</v>
      </c>
      <c r="D29" s="400"/>
      <c r="E29" s="400"/>
      <c r="F29" s="400"/>
      <c r="G29" s="400"/>
      <c r="H29" s="400"/>
      <c r="I29" s="400"/>
      <c r="J29" s="400"/>
      <c r="K29" s="400"/>
      <c r="L29" s="401"/>
      <c r="M29" s="10"/>
      <c r="N29" s="135"/>
    </row>
    <row r="30" spans="1:15" s="123" customFormat="1" ht="12.75" customHeight="1" thickBot="1" x14ac:dyDescent="0.25">
      <c r="A30" s="404"/>
      <c r="B30" s="136"/>
      <c r="C30" s="137"/>
      <c r="D30" s="137"/>
      <c r="E30" s="137"/>
      <c r="F30" s="137"/>
      <c r="G30" s="137"/>
      <c r="H30" s="137"/>
      <c r="I30" s="137"/>
      <c r="J30" s="137"/>
      <c r="K30" s="137"/>
      <c r="L30" s="137"/>
      <c r="M30" s="415"/>
      <c r="N30" s="415"/>
    </row>
    <row r="31" spans="1:15" s="123" customFormat="1" ht="12.75" customHeight="1" thickBot="1" x14ac:dyDescent="0.25">
      <c r="A31" s="404"/>
      <c r="B31" s="127"/>
      <c r="C31" s="102"/>
      <c r="D31" s="102"/>
      <c r="E31" s="102"/>
      <c r="F31" s="102"/>
      <c r="G31" s="102"/>
      <c r="H31" s="102"/>
      <c r="I31" s="102"/>
      <c r="J31" s="102"/>
      <c r="K31" s="102"/>
      <c r="L31" s="102"/>
      <c r="M31" s="127"/>
      <c r="N31" s="127"/>
    </row>
    <row r="32" spans="1:15" ht="15.75" customHeight="1" thickBot="1" x14ac:dyDescent="0.35">
      <c r="A32" s="404"/>
      <c r="B32" s="439" t="s">
        <v>14</v>
      </c>
      <c r="C32" s="383"/>
      <c r="D32" s="383"/>
      <c r="E32" s="383"/>
      <c r="F32" s="383"/>
      <c r="G32" s="383"/>
      <c r="H32" s="383"/>
      <c r="I32" s="383"/>
      <c r="J32" s="383"/>
      <c r="K32" s="383"/>
      <c r="L32" s="383"/>
      <c r="M32" s="383"/>
      <c r="N32" s="384"/>
    </row>
    <row r="33" spans="2:14" s="123" customFormat="1" ht="15.75" customHeight="1" x14ac:dyDescent="0.25">
      <c r="B33" s="138"/>
      <c r="C33" s="427" t="e">
        <f>CONCATENATE("Welcome to CIPFA's Public Library Statistics ",Year,"-",Year-1999," Questionnaire.")</f>
        <v>#REF!</v>
      </c>
      <c r="D33" s="427"/>
      <c r="E33" s="427"/>
      <c r="F33" s="427"/>
      <c r="G33" s="427"/>
      <c r="H33" s="427"/>
      <c r="I33" s="427"/>
      <c r="J33" s="427"/>
      <c r="K33" s="427"/>
      <c r="L33" s="427"/>
      <c r="M33" s="427"/>
      <c r="N33" s="139"/>
    </row>
    <row r="34" spans="2:14" s="123" customFormat="1" ht="12.75" customHeight="1" thickBot="1" x14ac:dyDescent="0.25">
      <c r="B34" s="138"/>
      <c r="C34" s="129"/>
      <c r="D34" s="129"/>
      <c r="E34" s="129"/>
      <c r="F34" s="129"/>
      <c r="G34" s="129"/>
      <c r="H34" s="130"/>
      <c r="I34" s="130"/>
      <c r="J34" s="130"/>
      <c r="K34" s="130"/>
      <c r="L34" s="130"/>
      <c r="M34" s="128"/>
      <c r="N34" s="139"/>
    </row>
    <row r="35" spans="2:14" s="123" customFormat="1" ht="12.75" customHeight="1" x14ac:dyDescent="0.2">
      <c r="B35" s="138"/>
      <c r="C35" s="406" t="s">
        <v>15</v>
      </c>
      <c r="D35" s="407"/>
      <c r="E35" s="407"/>
      <c r="F35" s="407"/>
      <c r="G35" s="407"/>
      <c r="H35" s="407"/>
      <c r="I35" s="407"/>
      <c r="J35" s="407"/>
      <c r="K35" s="407"/>
      <c r="L35" s="407"/>
      <c r="M35" s="408"/>
      <c r="N35" s="139"/>
    </row>
    <row r="36" spans="2:14" s="123" customFormat="1" ht="12.75" customHeight="1" x14ac:dyDescent="0.2">
      <c r="B36" s="138"/>
      <c r="C36" s="409"/>
      <c r="D36" s="410"/>
      <c r="E36" s="410"/>
      <c r="F36" s="410"/>
      <c r="G36" s="410"/>
      <c r="H36" s="410"/>
      <c r="I36" s="410"/>
      <c r="J36" s="410"/>
      <c r="K36" s="410"/>
      <c r="L36" s="410"/>
      <c r="M36" s="411"/>
      <c r="N36" s="139"/>
    </row>
    <row r="37" spans="2:14" s="123" customFormat="1" ht="12.75" customHeight="1" x14ac:dyDescent="0.2">
      <c r="B37" s="138"/>
      <c r="C37" s="409"/>
      <c r="D37" s="410"/>
      <c r="E37" s="410"/>
      <c r="F37" s="410"/>
      <c r="G37" s="410"/>
      <c r="H37" s="410"/>
      <c r="I37" s="410"/>
      <c r="J37" s="410"/>
      <c r="K37" s="410"/>
      <c r="L37" s="410"/>
      <c r="M37" s="411"/>
      <c r="N37" s="139"/>
    </row>
    <row r="38" spans="2:14" s="123" customFormat="1" ht="12.75" customHeight="1" x14ac:dyDescent="0.2">
      <c r="B38" s="138"/>
      <c r="C38" s="409"/>
      <c r="D38" s="410"/>
      <c r="E38" s="410"/>
      <c r="F38" s="410"/>
      <c r="G38" s="410"/>
      <c r="H38" s="410"/>
      <c r="I38" s="410"/>
      <c r="J38" s="410"/>
      <c r="K38" s="410"/>
      <c r="L38" s="410"/>
      <c r="M38" s="411"/>
      <c r="N38" s="139"/>
    </row>
    <row r="39" spans="2:14" s="123" customFormat="1" ht="12.75" customHeight="1" x14ac:dyDescent="0.2">
      <c r="B39" s="138"/>
      <c r="C39" s="409"/>
      <c r="D39" s="410"/>
      <c r="E39" s="410"/>
      <c r="F39" s="410"/>
      <c r="G39" s="410"/>
      <c r="H39" s="410"/>
      <c r="I39" s="410"/>
      <c r="J39" s="410"/>
      <c r="K39" s="410"/>
      <c r="L39" s="410"/>
      <c r="M39" s="411"/>
      <c r="N39" s="139"/>
    </row>
    <row r="40" spans="2:14" s="123" customFormat="1" ht="12.75" customHeight="1" x14ac:dyDescent="0.2">
      <c r="B40" s="138"/>
      <c r="C40" s="409"/>
      <c r="D40" s="410"/>
      <c r="E40" s="410"/>
      <c r="F40" s="410"/>
      <c r="G40" s="410"/>
      <c r="H40" s="410"/>
      <c r="I40" s="410"/>
      <c r="J40" s="410"/>
      <c r="K40" s="410"/>
      <c r="L40" s="410"/>
      <c r="M40" s="411"/>
      <c r="N40" s="139"/>
    </row>
    <row r="41" spans="2:14" s="123" customFormat="1" ht="12.75" customHeight="1" thickBot="1" x14ac:dyDescent="0.25">
      <c r="B41" s="138"/>
      <c r="C41" s="412"/>
      <c r="D41" s="413"/>
      <c r="E41" s="413"/>
      <c r="F41" s="413"/>
      <c r="G41" s="413"/>
      <c r="H41" s="413"/>
      <c r="I41" s="413"/>
      <c r="J41" s="413"/>
      <c r="K41" s="413"/>
      <c r="L41" s="413"/>
      <c r="M41" s="414"/>
      <c r="N41" s="139"/>
    </row>
    <row r="42" spans="2:14" s="123" customFormat="1" ht="12.75" customHeight="1" thickBot="1" x14ac:dyDescent="0.25">
      <c r="B42" s="138"/>
      <c r="C42" s="129"/>
      <c r="D42" s="129"/>
      <c r="E42" s="129"/>
      <c r="F42" s="129"/>
      <c r="G42" s="129"/>
      <c r="H42" s="130"/>
      <c r="I42" s="130"/>
      <c r="J42" s="130"/>
      <c r="K42" s="130"/>
      <c r="L42" s="130"/>
      <c r="M42" s="128"/>
      <c r="N42" s="139"/>
    </row>
    <row r="43" spans="2:14" s="123" customFormat="1" ht="12.75" customHeight="1" x14ac:dyDescent="0.2">
      <c r="B43" s="138"/>
      <c r="C43" s="428" t="s">
        <v>16</v>
      </c>
      <c r="D43" s="429"/>
      <c r="E43" s="429"/>
      <c r="F43" s="429"/>
      <c r="G43" s="429"/>
      <c r="H43" s="429"/>
      <c r="I43" s="429"/>
      <c r="J43" s="429"/>
      <c r="K43" s="429"/>
      <c r="L43" s="429"/>
      <c r="M43" s="430"/>
      <c r="N43" s="139"/>
    </row>
    <row r="44" spans="2:14" s="123" customFormat="1" ht="12.75" customHeight="1" x14ac:dyDescent="0.2">
      <c r="B44" s="138"/>
      <c r="C44" s="431"/>
      <c r="D44" s="432"/>
      <c r="E44" s="432"/>
      <c r="F44" s="432"/>
      <c r="G44" s="432"/>
      <c r="H44" s="432"/>
      <c r="I44" s="432"/>
      <c r="J44" s="432"/>
      <c r="K44" s="432"/>
      <c r="L44" s="432"/>
      <c r="M44" s="433"/>
      <c r="N44" s="139"/>
    </row>
    <row r="45" spans="2:14" s="123" customFormat="1" ht="12.75" customHeight="1" x14ac:dyDescent="0.2">
      <c r="B45" s="138"/>
      <c r="C45" s="431"/>
      <c r="D45" s="432"/>
      <c r="E45" s="432"/>
      <c r="F45" s="432"/>
      <c r="G45" s="432"/>
      <c r="H45" s="432"/>
      <c r="I45" s="432"/>
      <c r="J45" s="432"/>
      <c r="K45" s="432"/>
      <c r="L45" s="432"/>
      <c r="M45" s="433"/>
      <c r="N45" s="139"/>
    </row>
    <row r="46" spans="2:14" s="123" customFormat="1" ht="12.75" customHeight="1" thickBot="1" x14ac:dyDescent="0.25">
      <c r="B46" s="138"/>
      <c r="C46" s="434"/>
      <c r="D46" s="435"/>
      <c r="E46" s="435"/>
      <c r="F46" s="435"/>
      <c r="G46" s="435"/>
      <c r="H46" s="435"/>
      <c r="I46" s="435"/>
      <c r="J46" s="435"/>
      <c r="K46" s="435"/>
      <c r="L46" s="435"/>
      <c r="M46" s="436"/>
      <c r="N46" s="139"/>
    </row>
    <row r="47" spans="2:14" s="123" customFormat="1" ht="12.75" customHeight="1" thickBot="1" x14ac:dyDescent="0.25">
      <c r="B47" s="138"/>
      <c r="C47" s="129"/>
      <c r="D47" s="129"/>
      <c r="E47" s="129"/>
      <c r="F47" s="129"/>
      <c r="G47" s="129"/>
      <c r="H47" s="130"/>
      <c r="I47" s="130"/>
      <c r="J47" s="130"/>
      <c r="K47" s="130"/>
      <c r="L47" s="130"/>
      <c r="M47" s="128"/>
      <c r="N47" s="139"/>
    </row>
    <row r="48" spans="2:14" s="123" customFormat="1" ht="12.75" customHeight="1" x14ac:dyDescent="0.2">
      <c r="B48" s="138"/>
      <c r="C48" s="424" t="e">
        <f>"Please complete and email this questionnaire by Thurday 31st Aug " &amp;Year+1</f>
        <v>#REF!</v>
      </c>
      <c r="D48" s="425"/>
      <c r="E48" s="425"/>
      <c r="F48" s="425"/>
      <c r="G48" s="425"/>
      <c r="H48" s="425"/>
      <c r="I48" s="425"/>
      <c r="J48" s="425"/>
      <c r="K48" s="425"/>
      <c r="L48" s="425"/>
      <c r="M48" s="426"/>
      <c r="N48" s="139"/>
    </row>
    <row r="49" spans="2:14" s="123" customFormat="1" ht="12.75" customHeight="1" x14ac:dyDescent="0.2">
      <c r="B49" s="138"/>
      <c r="C49" s="421" t="s">
        <v>17</v>
      </c>
      <c r="D49" s="422"/>
      <c r="E49" s="422"/>
      <c r="F49" s="422"/>
      <c r="G49" s="422"/>
      <c r="H49" s="422"/>
      <c r="I49" s="422"/>
      <c r="J49" s="422"/>
      <c r="K49" s="422"/>
      <c r="L49" s="422"/>
      <c r="M49" s="423"/>
      <c r="N49" s="139"/>
    </row>
    <row r="50" spans="2:14" s="123" customFormat="1" ht="12.75" customHeight="1" thickBot="1" x14ac:dyDescent="0.25">
      <c r="B50" s="138"/>
      <c r="C50" s="418" t="s">
        <v>18</v>
      </c>
      <c r="D50" s="419"/>
      <c r="E50" s="419"/>
      <c r="F50" s="419"/>
      <c r="G50" s="419"/>
      <c r="H50" s="419"/>
      <c r="I50" s="419"/>
      <c r="J50" s="419"/>
      <c r="K50" s="419"/>
      <c r="L50" s="419"/>
      <c r="M50" s="420"/>
      <c r="N50" s="139"/>
    </row>
    <row r="51" spans="2:14" s="123" customFormat="1" ht="12.75" customHeight="1" x14ac:dyDescent="0.2">
      <c r="B51" s="138"/>
      <c r="C51" s="129"/>
      <c r="D51" s="129"/>
      <c r="E51" s="129"/>
      <c r="F51" s="129"/>
      <c r="G51" s="129"/>
      <c r="H51" s="130"/>
      <c r="I51" s="130"/>
      <c r="J51" s="130"/>
      <c r="K51" s="130"/>
      <c r="L51" s="130"/>
      <c r="M51" s="128"/>
      <c r="N51" s="139"/>
    </row>
    <row r="52" spans="2:14" s="123" customFormat="1" ht="12.75" customHeight="1" x14ac:dyDescent="0.2">
      <c r="B52" s="138"/>
      <c r="C52" s="416" t="s">
        <v>19</v>
      </c>
      <c r="D52" s="416"/>
      <c r="E52" s="416"/>
      <c r="F52" s="416"/>
      <c r="G52" s="416"/>
      <c r="H52" s="416"/>
      <c r="I52" s="416"/>
      <c r="J52" s="416"/>
      <c r="K52" s="416"/>
      <c r="L52" s="416"/>
      <c r="M52" s="416"/>
      <c r="N52" s="139"/>
    </row>
    <row r="53" spans="2:14" s="123" customFormat="1" ht="12.75" customHeight="1" x14ac:dyDescent="0.2">
      <c r="B53" s="138"/>
      <c r="C53" s="416"/>
      <c r="D53" s="416"/>
      <c r="E53" s="416"/>
      <c r="F53" s="416"/>
      <c r="G53" s="416"/>
      <c r="H53" s="416"/>
      <c r="I53" s="416"/>
      <c r="J53" s="416"/>
      <c r="K53" s="416"/>
      <c r="L53" s="416"/>
      <c r="M53" s="416"/>
      <c r="N53" s="139"/>
    </row>
    <row r="54" spans="2:14" s="123" customFormat="1" ht="15.75" customHeight="1" x14ac:dyDescent="0.2">
      <c r="B54" s="138"/>
      <c r="C54" s="120"/>
      <c r="D54" s="7"/>
      <c r="E54" s="7"/>
      <c r="F54" s="7"/>
      <c r="G54" s="31" t="s">
        <v>20</v>
      </c>
      <c r="H54" s="121" t="s">
        <v>21</v>
      </c>
      <c r="I54" s="7"/>
      <c r="J54" s="118"/>
      <c r="K54" s="118"/>
      <c r="L54" s="118"/>
      <c r="M54" s="128"/>
      <c r="N54" s="139"/>
    </row>
    <row r="55" spans="2:14" s="123" customFormat="1" ht="15.75" customHeight="1" x14ac:dyDescent="0.2">
      <c r="B55" s="138"/>
      <c r="C55" s="119"/>
      <c r="D55" s="7"/>
      <c r="E55" s="7"/>
      <c r="F55" s="7"/>
      <c r="G55" s="31" t="s">
        <v>22</v>
      </c>
      <c r="H55" s="7" t="s">
        <v>23</v>
      </c>
      <c r="I55" s="7"/>
      <c r="J55" s="6"/>
      <c r="K55" s="6"/>
      <c r="L55" s="6"/>
      <c r="M55" s="128"/>
      <c r="N55" s="139"/>
    </row>
    <row r="56" spans="2:14" s="123" customFormat="1" ht="15.75" customHeight="1" x14ac:dyDescent="0.2">
      <c r="B56" s="138"/>
      <c r="C56" s="7"/>
      <c r="D56" s="7"/>
      <c r="E56" s="7"/>
      <c r="F56" s="7"/>
      <c r="G56" s="7"/>
      <c r="H56" s="131"/>
      <c r="I56" s="131"/>
      <c r="J56" s="131"/>
      <c r="K56" s="131"/>
      <c r="L56" s="131"/>
      <c r="M56" s="128"/>
      <c r="N56" s="139"/>
    </row>
    <row r="57" spans="2:14" s="123" customFormat="1" ht="12.75" customHeight="1" thickBot="1" x14ac:dyDescent="0.25">
      <c r="B57" s="140" t="s">
        <v>392</v>
      </c>
      <c r="C57" s="141"/>
      <c r="D57" s="142"/>
      <c r="E57" s="142"/>
      <c r="F57" s="142"/>
      <c r="G57" s="142"/>
      <c r="H57" s="142"/>
      <c r="I57" s="142"/>
      <c r="J57" s="142"/>
      <c r="K57" s="142"/>
      <c r="L57" s="142"/>
      <c r="M57" s="143"/>
      <c r="N57" s="144"/>
    </row>
    <row r="58" spans="2:14" ht="12.75" customHeight="1" x14ac:dyDescent="0.3">
      <c r="H58" s="50"/>
      <c r="I58" s="50"/>
      <c r="J58" s="50"/>
      <c r="K58" s="50"/>
      <c r="L58" s="50"/>
      <c r="M58" s="50"/>
      <c r="N58" s="50"/>
    </row>
    <row r="59" spans="2:14" ht="12.75" customHeight="1" x14ac:dyDescent="0.3">
      <c r="B59" s="405" t="e">
        <f>CONCATENATE("© CIPFA ",Year+1)</f>
        <v>#REF!</v>
      </c>
      <c r="C59" s="403"/>
      <c r="D59" s="403"/>
      <c r="E59" s="403"/>
      <c r="F59" s="403"/>
      <c r="G59" s="403"/>
      <c r="H59" s="403"/>
      <c r="I59" s="403"/>
      <c r="J59" s="403"/>
      <c r="K59" s="404"/>
      <c r="L59" s="404"/>
      <c r="M59" s="404"/>
      <c r="N59" s="404"/>
    </row>
    <row r="60" spans="2:14" ht="12.75" customHeight="1" x14ac:dyDescent="0.3">
      <c r="B60" s="417" t="s">
        <v>24</v>
      </c>
      <c r="C60" s="417"/>
      <c r="D60" s="417"/>
      <c r="E60" s="417"/>
      <c r="F60" s="417"/>
      <c r="G60" s="417"/>
      <c r="H60" s="417"/>
      <c r="I60" s="417"/>
      <c r="J60" s="417"/>
      <c r="K60" s="417"/>
      <c r="L60" s="417"/>
      <c r="M60" s="417"/>
      <c r="N60" s="417"/>
    </row>
    <row r="61" spans="2:14" ht="12.75" customHeight="1" x14ac:dyDescent="0.3">
      <c r="B61" s="402" t="s">
        <v>25</v>
      </c>
      <c r="C61" s="403"/>
      <c r="D61" s="403"/>
      <c r="E61" s="403"/>
      <c r="F61" s="403"/>
      <c r="G61" s="403"/>
      <c r="H61" s="403"/>
      <c r="I61" s="403"/>
      <c r="J61" s="403"/>
      <c r="K61" s="404"/>
      <c r="L61" s="404"/>
      <c r="M61" s="404"/>
      <c r="N61" s="404"/>
    </row>
    <row r="62" spans="2:14" ht="12.75" customHeight="1" x14ac:dyDescent="0.3">
      <c r="H62" s="50"/>
      <c r="I62" s="50"/>
      <c r="J62" s="50"/>
      <c r="K62" s="50"/>
      <c r="L62" s="50"/>
      <c r="M62" s="50"/>
      <c r="N62" s="50"/>
    </row>
    <row r="63" spans="2:14" ht="12.75" customHeight="1" x14ac:dyDescent="0.3">
      <c r="H63" s="50"/>
      <c r="I63" s="50"/>
      <c r="J63" s="50"/>
      <c r="K63" s="50"/>
      <c r="L63" s="50"/>
      <c r="M63" s="50"/>
      <c r="N63" s="50"/>
    </row>
    <row r="64" spans="2:14" ht="12.75" customHeight="1" x14ac:dyDescent="0.3">
      <c r="H64" s="50"/>
      <c r="I64" s="50"/>
      <c r="J64" s="50"/>
      <c r="K64" s="50"/>
      <c r="L64" s="50"/>
      <c r="M64" s="50"/>
      <c r="N64" s="50"/>
    </row>
    <row r="65" s="50" customFormat="1" ht="12.75" customHeight="1" x14ac:dyDescent="0.3"/>
    <row r="66" s="50" customFormat="1" ht="12.75" customHeight="1" x14ac:dyDescent="0.3"/>
    <row r="67" s="50" customFormat="1" ht="12.75" customHeight="1" x14ac:dyDescent="0.3"/>
    <row r="68" s="50" customFormat="1" ht="12.75" customHeight="1" x14ac:dyDescent="0.3"/>
    <row r="69" s="50" customFormat="1" ht="12.75" customHeight="1" x14ac:dyDescent="0.3"/>
    <row r="70" s="50" customFormat="1" ht="12.75" customHeight="1" x14ac:dyDescent="0.3"/>
    <row r="71" s="50" customFormat="1" ht="12.75" customHeight="1" x14ac:dyDescent="0.3"/>
    <row r="72" s="50" customFormat="1" ht="12.75" customHeight="1" x14ac:dyDescent="0.3"/>
    <row r="73" s="50" customFormat="1" ht="12.75" customHeight="1" x14ac:dyDescent="0.3"/>
    <row r="74" s="50" customFormat="1" ht="12.75" customHeight="1" x14ac:dyDescent="0.3"/>
    <row r="75" s="50" customFormat="1" ht="12.75" customHeight="1" x14ac:dyDescent="0.3"/>
    <row r="76" s="50" customFormat="1" ht="12.75" customHeight="1" x14ac:dyDescent="0.3"/>
    <row r="77" s="50" customFormat="1" ht="12.75" customHeight="1" x14ac:dyDescent="0.3"/>
    <row r="78" s="50" customFormat="1" ht="12.75" customHeight="1" x14ac:dyDescent="0.3"/>
    <row r="79" s="50" customFormat="1" ht="12.75" customHeight="1" x14ac:dyDescent="0.3"/>
    <row r="80" s="50" customFormat="1" ht="12.75" customHeight="1" x14ac:dyDescent="0.3"/>
    <row r="81" s="50" customFormat="1" ht="12.75" customHeight="1" x14ac:dyDescent="0.3"/>
    <row r="82" s="50" customFormat="1" ht="12.75" customHeight="1" x14ac:dyDescent="0.3"/>
    <row r="83" s="50" customFormat="1" ht="12.75" customHeight="1" x14ac:dyDescent="0.3"/>
    <row r="84" s="50" customFormat="1" ht="12.75" customHeight="1" x14ac:dyDescent="0.3"/>
    <row r="85" s="50" customFormat="1" ht="12.75" customHeight="1" x14ac:dyDescent="0.3"/>
    <row r="86" s="50" customFormat="1" ht="12.75" customHeight="1" x14ac:dyDescent="0.3"/>
    <row r="87" s="50" customFormat="1" ht="12.75" customHeight="1" x14ac:dyDescent="0.3"/>
    <row r="88" s="50" customFormat="1" ht="12.75" customHeight="1" x14ac:dyDescent="0.3"/>
    <row r="89" s="50" customFormat="1" ht="12.75" customHeight="1" x14ac:dyDescent="0.3"/>
    <row r="90" s="50" customFormat="1" ht="12.75" customHeight="1" x14ac:dyDescent="0.3"/>
    <row r="91" s="50" customFormat="1" ht="12.75" customHeight="1" x14ac:dyDescent="0.3"/>
    <row r="92" s="50" customFormat="1" ht="12.75" customHeight="1" x14ac:dyDescent="0.3"/>
    <row r="93" s="50" customFormat="1" ht="12.75" customHeight="1" x14ac:dyDescent="0.3"/>
    <row r="94" s="50" customFormat="1" ht="12.75" customHeight="1" x14ac:dyDescent="0.3"/>
    <row r="95" s="50" customFormat="1" ht="12.75" customHeight="1" x14ac:dyDescent="0.3"/>
    <row r="96" s="50" customFormat="1" ht="12.75" customHeight="1" x14ac:dyDescent="0.3"/>
    <row r="97" s="50" customFormat="1" ht="12.75" customHeight="1" x14ac:dyDescent="0.3"/>
    <row r="98" s="50" customFormat="1" ht="12.75" customHeight="1" x14ac:dyDescent="0.3"/>
    <row r="99" s="50" customFormat="1" ht="12.75" customHeight="1" x14ac:dyDescent="0.3"/>
    <row r="100" s="50" customFormat="1" ht="12.75" customHeight="1" x14ac:dyDescent="0.3"/>
    <row r="101" s="50" customFormat="1" ht="12.75" customHeight="1" x14ac:dyDescent="0.3"/>
    <row r="102" s="50" customFormat="1" ht="12.75" customHeight="1" x14ac:dyDescent="0.3"/>
    <row r="103" s="50" customFormat="1" ht="12.75" customHeight="1" x14ac:dyDescent="0.3"/>
    <row r="104" s="50" customFormat="1" ht="12.75" customHeight="1" x14ac:dyDescent="0.3"/>
    <row r="105" s="50" customFormat="1" ht="12.75" customHeight="1" x14ac:dyDescent="0.3"/>
    <row r="106" s="50" customFormat="1" ht="12.75" customHeight="1" x14ac:dyDescent="0.3"/>
    <row r="107" s="50" customFormat="1" ht="12.75" customHeight="1" x14ac:dyDescent="0.3"/>
    <row r="108" s="50" customFormat="1" ht="12.75" customHeight="1" x14ac:dyDescent="0.3"/>
    <row r="109" s="50" customFormat="1" ht="12.75" customHeight="1" x14ac:dyDescent="0.3"/>
    <row r="110" s="50" customFormat="1" ht="12.75" customHeight="1" x14ac:dyDescent="0.3"/>
    <row r="111" s="50" customFormat="1" ht="12.75" customHeight="1" x14ac:dyDescent="0.3"/>
    <row r="112" s="50" customFormat="1" ht="12.75" customHeight="1" x14ac:dyDescent="0.3"/>
    <row r="113" s="50" customFormat="1" ht="12.75" customHeight="1" x14ac:dyDescent="0.3"/>
    <row r="114" s="50" customFormat="1" ht="12.75" customHeight="1" x14ac:dyDescent="0.3"/>
    <row r="115" s="50" customFormat="1" ht="12.75" customHeight="1" x14ac:dyDescent="0.3"/>
    <row r="116" s="50" customFormat="1" ht="12.75" customHeight="1" x14ac:dyDescent="0.3"/>
    <row r="117" s="50" customFormat="1" ht="12.75" customHeight="1" x14ac:dyDescent="0.3"/>
    <row r="118" s="50" customFormat="1" ht="12.75" customHeight="1" x14ac:dyDescent="0.3"/>
    <row r="119" s="50" customFormat="1" ht="12.75" customHeight="1" x14ac:dyDescent="0.3"/>
    <row r="120" s="50" customFormat="1" ht="12.75" customHeight="1" x14ac:dyDescent="0.3"/>
    <row r="121" s="50" customFormat="1" ht="12.75" customHeight="1" x14ac:dyDescent="0.3"/>
    <row r="122" s="50" customFormat="1" ht="12.75" customHeight="1" x14ac:dyDescent="0.3"/>
    <row r="123" s="50" customFormat="1" ht="12.75" customHeight="1" x14ac:dyDescent="0.3"/>
    <row r="124" s="50" customFormat="1" ht="12.75" customHeight="1" x14ac:dyDescent="0.3"/>
    <row r="125" s="50" customFormat="1" ht="12.75" customHeight="1" x14ac:dyDescent="0.3"/>
    <row r="126" s="50" customFormat="1" ht="12.75" customHeight="1" x14ac:dyDescent="0.3"/>
    <row r="127" s="50" customFormat="1" ht="12.75" customHeight="1" x14ac:dyDescent="0.3"/>
    <row r="128" s="50" customFormat="1" ht="12.75" customHeight="1" x14ac:dyDescent="0.3"/>
    <row r="129" s="50" customFormat="1" ht="12.75" customHeight="1" x14ac:dyDescent="0.3"/>
    <row r="130" s="50" customFormat="1" ht="12.75" customHeight="1" x14ac:dyDescent="0.3"/>
    <row r="131" s="50" customFormat="1" ht="12.75" customHeight="1" x14ac:dyDescent="0.3"/>
    <row r="132" s="50" customFormat="1" ht="12.75" customHeight="1" x14ac:dyDescent="0.3"/>
    <row r="133" s="50" customFormat="1" ht="12.75" customHeight="1" x14ac:dyDescent="0.3"/>
    <row r="134" s="50" customFormat="1" ht="12.75" customHeight="1" x14ac:dyDescent="0.3"/>
    <row r="135" s="50" customFormat="1" ht="12.75" customHeight="1" x14ac:dyDescent="0.3"/>
    <row r="136" s="50" customFormat="1" ht="12.75" customHeight="1" x14ac:dyDescent="0.3"/>
    <row r="137" s="50" customFormat="1" ht="12.75" customHeight="1" x14ac:dyDescent="0.3"/>
    <row r="138" s="50" customFormat="1" ht="12.75" customHeight="1" x14ac:dyDescent="0.3"/>
    <row r="139" s="50" customFormat="1" ht="12.75" customHeight="1" x14ac:dyDescent="0.3"/>
    <row r="140" s="50" customFormat="1" ht="12.75" customHeight="1" x14ac:dyDescent="0.3"/>
    <row r="141" s="50" customFormat="1" ht="12.75" customHeight="1" x14ac:dyDescent="0.3"/>
    <row r="142" s="50" customFormat="1" ht="12.75" customHeight="1" x14ac:dyDescent="0.3"/>
    <row r="143" s="50" customFormat="1" ht="12.75" customHeight="1" x14ac:dyDescent="0.3"/>
    <row r="144" s="50" customFormat="1" ht="12.75" customHeight="1" x14ac:dyDescent="0.3"/>
    <row r="145" spans="8:14" ht="12.75" customHeight="1" x14ac:dyDescent="0.3">
      <c r="H145" s="50"/>
      <c r="I145" s="50"/>
      <c r="J145" s="50"/>
      <c r="K145" s="50"/>
      <c r="L145" s="50"/>
      <c r="M145" s="50"/>
      <c r="N145" s="50"/>
    </row>
    <row r="146" spans="8:14" ht="12.75" customHeight="1" x14ac:dyDescent="0.3">
      <c r="H146" s="50"/>
      <c r="I146" s="50"/>
      <c r="J146" s="50"/>
      <c r="K146" s="50"/>
      <c r="L146" s="50"/>
      <c r="M146" s="50"/>
      <c r="N146" s="50"/>
    </row>
    <row r="147" spans="8:14" ht="12.75" customHeight="1" x14ac:dyDescent="0.3">
      <c r="H147" s="50"/>
      <c r="I147" s="50"/>
      <c r="J147" s="50"/>
      <c r="K147" s="50"/>
      <c r="L147" s="50"/>
      <c r="M147" s="50"/>
      <c r="N147" s="50"/>
    </row>
    <row r="148" spans="8:14" ht="12.75" customHeight="1" x14ac:dyDescent="0.3">
      <c r="H148" s="50"/>
      <c r="I148" s="50"/>
      <c r="J148" s="50"/>
      <c r="K148" s="50"/>
      <c r="L148" s="50"/>
      <c r="M148" s="50"/>
      <c r="N148" s="50"/>
    </row>
    <row r="149" spans="8:14" ht="12.75" customHeight="1" x14ac:dyDescent="0.3">
      <c r="H149" s="50"/>
      <c r="I149" s="50"/>
      <c r="J149" s="50"/>
      <c r="K149" s="50"/>
      <c r="L149" s="50"/>
      <c r="M149" s="50"/>
      <c r="N149" s="50"/>
    </row>
    <row r="150" spans="8:14" ht="12.75" customHeight="1" x14ac:dyDescent="0.3">
      <c r="H150" s="50"/>
      <c r="I150" s="50"/>
      <c r="J150" s="50"/>
      <c r="K150" s="50"/>
      <c r="L150" s="50"/>
      <c r="M150" s="50"/>
      <c r="N150" s="50"/>
    </row>
    <row r="151" spans="8:14" ht="12.75" customHeight="1" x14ac:dyDescent="0.3">
      <c r="H151" s="50"/>
      <c r="I151" s="50"/>
      <c r="J151" s="50"/>
      <c r="K151" s="50"/>
      <c r="L151" s="50"/>
      <c r="M151" s="50"/>
      <c r="N151" s="50"/>
    </row>
    <row r="152" spans="8:14" ht="12.75" customHeight="1" x14ac:dyDescent="0.3">
      <c r="H152" s="50"/>
      <c r="I152" s="50"/>
      <c r="J152" s="50"/>
      <c r="K152" s="50"/>
      <c r="L152" s="50"/>
      <c r="M152" s="50"/>
      <c r="N152" s="50"/>
    </row>
    <row r="153" spans="8:14" ht="12.75" customHeight="1" x14ac:dyDescent="0.3">
      <c r="H153" s="50"/>
      <c r="I153" s="50"/>
      <c r="J153" s="50"/>
      <c r="K153" s="50"/>
      <c r="L153" s="50"/>
      <c r="M153" s="50"/>
      <c r="N153" s="50"/>
    </row>
    <row r="154" spans="8:14" ht="12.75" customHeight="1" x14ac:dyDescent="0.3">
      <c r="H154" s="50"/>
      <c r="I154" s="50"/>
      <c r="J154" s="50"/>
      <c r="K154" s="50"/>
      <c r="L154" s="50"/>
      <c r="M154" s="50"/>
      <c r="N154" s="50"/>
    </row>
    <row r="155" spans="8:14" ht="12.75" customHeight="1" x14ac:dyDescent="0.3">
      <c r="I155" s="50"/>
    </row>
    <row r="156" spans="8:14" ht="12.75" customHeight="1" x14ac:dyDescent="0.3"/>
    <row r="157" spans="8:14" ht="12.75" customHeight="1" x14ac:dyDescent="0.3"/>
    <row r="158" spans="8:14" ht="12.75" customHeight="1" x14ac:dyDescent="0.3"/>
    <row r="159" spans="8:14" ht="12.75" customHeight="1" x14ac:dyDescent="0.3"/>
    <row r="160" spans="8:14" ht="12.75" customHeight="1" x14ac:dyDescent="0.3"/>
    <row r="161" ht="12.75" customHeight="1" x14ac:dyDescent="0.3"/>
    <row r="162" ht="12.75" customHeight="1" x14ac:dyDescent="0.3"/>
  </sheetData>
  <sheetProtection selectLockedCells="1"/>
  <mergeCells count="45">
    <mergeCell ref="M23:N23"/>
    <mergeCell ref="M24:N24"/>
    <mergeCell ref="A1:M1"/>
    <mergeCell ref="A2:A32"/>
    <mergeCell ref="C5:L5"/>
    <mergeCell ref="B2:M4"/>
    <mergeCell ref="B8:M8"/>
    <mergeCell ref="B32:N32"/>
    <mergeCell ref="C13:K13"/>
    <mergeCell ref="M18:N18"/>
    <mergeCell ref="M12:N12"/>
    <mergeCell ref="M19:N19"/>
    <mergeCell ref="M16:N16"/>
    <mergeCell ref="L15:M15"/>
    <mergeCell ref="M17:N17"/>
    <mergeCell ref="M20:N20"/>
    <mergeCell ref="C29:L29"/>
    <mergeCell ref="C25:E25"/>
    <mergeCell ref="B61:N61"/>
    <mergeCell ref="B59:N59"/>
    <mergeCell ref="C35:M41"/>
    <mergeCell ref="M30:N30"/>
    <mergeCell ref="C52:M53"/>
    <mergeCell ref="B60:N60"/>
    <mergeCell ref="C50:M50"/>
    <mergeCell ref="C49:M49"/>
    <mergeCell ref="C48:M48"/>
    <mergeCell ref="C33:M33"/>
    <mergeCell ref="C43:M46"/>
    <mergeCell ref="B5:B7"/>
    <mergeCell ref="B9:N9"/>
    <mergeCell ref="E23:J23"/>
    <mergeCell ref="M10:N10"/>
    <mergeCell ref="M11:N11"/>
    <mergeCell ref="M22:N22"/>
    <mergeCell ref="G11:J11"/>
    <mergeCell ref="M13:N13"/>
    <mergeCell ref="E17:J17"/>
    <mergeCell ref="C19:E19"/>
    <mergeCell ref="M14:N14"/>
    <mergeCell ref="E15:G15"/>
    <mergeCell ref="I15:J15"/>
    <mergeCell ref="E21:G21"/>
    <mergeCell ref="L21:M21"/>
    <mergeCell ref="I21:J21"/>
  </mergeCells>
  <phoneticPr fontId="0" type="noConversion"/>
  <dataValidations count="1">
    <dataValidation type="list" allowBlank="1" showInputMessage="1" showErrorMessage="1" sqref="G11:J11" xr:uid="{00000000-0002-0000-0000-000000000000}">
      <formula1>Authority_List</formula1>
    </dataValidation>
  </dataValidations>
  <hyperlinks>
    <hyperlink ref="H54" r:id="rId1" xr:uid="{00000000-0004-0000-0000-000000000000}"/>
    <hyperlink ref="E17" r:id="rId2" display="alison.stoddart@edinburgh.gov.uk" xr:uid="{A1987DCC-EC4B-4DD7-809B-95C40FDFDDDE}"/>
    <hyperlink ref="E23" r:id="rId3" display="marta.ruminska@edinburgh.gov.uk" xr:uid="{14F2A7F6-955D-453D-8B62-5C08CC6A9444}"/>
  </hyperlinks>
  <printOptions horizontalCentered="1"/>
  <pageMargins left="0.23622047244094491" right="0.23622047244094491" top="0.19685039370078741" bottom="0.19685039370078741" header="0" footer="0"/>
  <pageSetup paperSize="9" scale="97" orientation="portrait"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7030A0"/>
  </sheetPr>
  <dimension ref="A1:BF178"/>
  <sheetViews>
    <sheetView showGridLines="0" zoomScaleNormal="100" zoomScaleSheetLayoutView="100" workbookViewId="0">
      <selection activeCell="D61" sqref="D61"/>
    </sheetView>
  </sheetViews>
  <sheetFormatPr defaultColWidth="0" defaultRowHeight="0" customHeight="1" zeroHeight="1" x14ac:dyDescent="0.3"/>
  <cols>
    <col min="1" max="1" width="1.23046875" style="339" customWidth="1"/>
    <col min="2" max="2" width="1.4609375" style="51" customWidth="1"/>
    <col min="3" max="3" width="6.4609375" style="51" customWidth="1"/>
    <col min="4" max="4" width="32.765625" style="51" customWidth="1"/>
    <col min="5" max="5" width="6.69140625" style="51" customWidth="1"/>
    <col min="6" max="6" width="8" style="51" customWidth="1"/>
    <col min="7" max="8" width="8.4609375" style="51" customWidth="1"/>
    <col min="9" max="9" width="23.3046875" style="51" customWidth="1"/>
    <col min="10" max="10" width="21.07421875" style="51" customWidth="1"/>
    <col min="11" max="11" width="1.765625" style="51" customWidth="1"/>
    <col min="12" max="12" width="6.69140625" style="100" customWidth="1"/>
    <col min="13" max="58" width="9.69140625" style="101" customWidth="1"/>
    <col min="59" max="78" width="9.69140625" style="51" customWidth="1"/>
    <col min="79" max="16384" width="9.69140625" style="51" hidden="1"/>
  </cols>
  <sheetData>
    <row r="1" spans="1:58" ht="15.75" customHeight="1" x14ac:dyDescent="0.3">
      <c r="C1" s="96"/>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row>
    <row r="2" spans="1:58" ht="15.75" customHeight="1" x14ac:dyDescent="0.3">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row>
    <row r="3" spans="1:58" ht="15.75" customHeight="1" x14ac:dyDescent="0.3">
      <c r="D3" s="99"/>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row>
    <row r="4" spans="1:58" ht="15.75" customHeight="1" x14ac:dyDescent="0.3">
      <c r="D4" s="99"/>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row>
    <row r="5" spans="1:58" s="50" customFormat="1" ht="15.75" customHeight="1" x14ac:dyDescent="0.3">
      <c r="A5" s="371"/>
      <c r="B5" s="93"/>
      <c r="C5" s="446"/>
      <c r="D5" s="446"/>
      <c r="E5" s="446"/>
      <c r="F5" s="64"/>
      <c r="G5" s="64"/>
      <c r="H5" s="64"/>
      <c r="I5" s="64"/>
      <c r="J5" s="64"/>
      <c r="K5" s="64"/>
    </row>
    <row r="6" spans="1:58" s="50" customFormat="1" ht="15.75" customHeight="1" x14ac:dyDescent="0.3">
      <c r="A6" s="371"/>
      <c r="B6" s="381" t="e">
        <f>Contacts!C7</f>
        <v>#REF!</v>
      </c>
      <c r="C6" s="381"/>
      <c r="D6" s="381"/>
      <c r="E6" s="381"/>
      <c r="F6" s="381"/>
      <c r="G6" s="381"/>
      <c r="H6" s="381"/>
      <c r="I6" s="381"/>
      <c r="J6" s="381"/>
      <c r="K6" s="381"/>
    </row>
    <row r="7" spans="1:58" ht="15.75" customHeight="1" thickBot="1" x14ac:dyDescent="0.35">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row>
    <row r="8" spans="1:58" ht="26.5" customHeight="1" thickBot="1" x14ac:dyDescent="0.35">
      <c r="B8" s="444" t="e">
        <f>CONCATENATE("Service Points Open to the Public at 31 March ",Year+1," (to be used in section 1 of the questionnaire)")</f>
        <v>#REF!</v>
      </c>
      <c r="C8" s="445"/>
      <c r="D8" s="445"/>
      <c r="E8" s="445"/>
      <c r="F8" s="445"/>
      <c r="G8" s="445"/>
      <c r="H8" s="445"/>
      <c r="I8" s="445"/>
      <c r="J8" s="352" t="s">
        <v>26</v>
      </c>
      <c r="K8" s="353"/>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row>
    <row r="9" spans="1:58" ht="12.75" customHeight="1" x14ac:dyDescent="0.3">
      <c r="B9" s="52"/>
      <c r="C9" s="53"/>
      <c r="D9" s="53"/>
      <c r="E9" s="53"/>
      <c r="F9" s="53"/>
      <c r="G9" s="53"/>
      <c r="H9" s="53"/>
      <c r="I9" s="53"/>
      <c r="J9" s="53"/>
      <c r="K9" s="54"/>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row>
    <row r="10" spans="1:58" ht="12.75" customHeight="1" x14ac:dyDescent="0.3">
      <c r="B10" s="52"/>
      <c r="C10" s="91" t="s">
        <v>27</v>
      </c>
      <c r="D10" s="15"/>
      <c r="E10" s="15"/>
      <c r="F10" s="15"/>
      <c r="G10" s="15"/>
      <c r="H10" s="15"/>
      <c r="I10" s="15"/>
      <c r="J10" s="15"/>
      <c r="K10" s="54"/>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row>
    <row r="11" spans="1:58" ht="12.75" customHeight="1" x14ac:dyDescent="0.3">
      <c r="B11" s="52"/>
      <c r="C11" s="15"/>
      <c r="D11" s="15"/>
      <c r="E11" s="15"/>
      <c r="F11" s="15"/>
      <c r="G11" s="15"/>
      <c r="H11" s="15"/>
      <c r="I11" s="15"/>
      <c r="J11" s="15"/>
      <c r="K11" s="54"/>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row>
    <row r="12" spans="1:58" ht="12.75" customHeight="1" x14ac:dyDescent="0.3">
      <c r="B12" s="376"/>
      <c r="C12" s="15" t="s">
        <v>28</v>
      </c>
      <c r="D12" s="15"/>
      <c r="E12" s="15"/>
      <c r="F12" s="15"/>
      <c r="G12" s="15"/>
      <c r="H12" s="15"/>
      <c r="I12" s="15"/>
      <c r="J12" s="15"/>
      <c r="K12" s="54"/>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row>
    <row r="13" spans="1:58" ht="12.75" customHeight="1" x14ac:dyDescent="0.3">
      <c r="B13" s="376"/>
      <c r="C13" s="15" t="s">
        <v>29</v>
      </c>
      <c r="D13" s="15"/>
      <c r="E13" s="15"/>
      <c r="F13" s="15"/>
      <c r="G13" s="15"/>
      <c r="H13" s="15"/>
      <c r="I13" s="15"/>
      <c r="J13" s="15"/>
      <c r="K13" s="54"/>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row>
    <row r="14" spans="1:58" ht="12.75" customHeight="1" x14ac:dyDescent="0.3">
      <c r="B14" s="52"/>
      <c r="C14" s="15"/>
      <c r="D14" s="15"/>
      <c r="E14" s="15"/>
      <c r="F14" s="15"/>
      <c r="G14" s="15"/>
      <c r="H14" s="15"/>
      <c r="I14" s="15"/>
      <c r="J14" s="15"/>
      <c r="K14" s="54"/>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row>
    <row r="15" spans="1:58" ht="12.75" customHeight="1" x14ac:dyDescent="0.3">
      <c r="B15" s="52"/>
      <c r="C15" s="15" t="s">
        <v>30</v>
      </c>
      <c r="D15" s="15"/>
      <c r="E15" s="15"/>
      <c r="F15" s="15"/>
      <c r="G15" s="15"/>
      <c r="H15" s="15"/>
      <c r="I15" s="15"/>
      <c r="J15" s="15"/>
      <c r="K15" s="54"/>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row>
    <row r="16" spans="1:58" ht="12.75" customHeight="1" x14ac:dyDescent="0.3">
      <c r="B16" s="52"/>
      <c r="C16" s="15"/>
      <c r="D16" s="15"/>
      <c r="E16" s="15"/>
      <c r="F16" s="15"/>
      <c r="G16" s="15"/>
      <c r="H16" s="15"/>
      <c r="I16" s="15"/>
      <c r="J16" s="15"/>
      <c r="K16" s="54"/>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row>
    <row r="17" spans="1:58" ht="12.75" customHeight="1" x14ac:dyDescent="0.3">
      <c r="B17" s="52"/>
      <c r="C17" s="336" t="s">
        <v>31</v>
      </c>
      <c r="D17" s="336"/>
      <c r="E17" s="336"/>
      <c r="F17" s="336"/>
      <c r="G17" s="336"/>
      <c r="H17" s="336"/>
      <c r="I17" s="336"/>
      <c r="J17" s="15"/>
      <c r="K17" s="54"/>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row>
    <row r="18" spans="1:58" ht="12.75" customHeight="1" x14ac:dyDescent="0.3">
      <c r="B18" s="52"/>
      <c r="C18" s="15"/>
      <c r="D18" s="15"/>
      <c r="E18" s="15"/>
      <c r="F18" s="15"/>
      <c r="G18" s="15"/>
      <c r="H18" s="15"/>
      <c r="I18" s="15"/>
      <c r="J18" s="15"/>
      <c r="K18" s="54"/>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row>
    <row r="19" spans="1:58" ht="12.75" customHeight="1" x14ac:dyDescent="0.3">
      <c r="B19" s="376"/>
      <c r="C19" s="220" t="s">
        <v>32</v>
      </c>
      <c r="D19" s="220"/>
      <c r="E19" s="220"/>
      <c r="F19" s="220"/>
      <c r="G19" s="220"/>
      <c r="H19" s="220"/>
      <c r="I19" s="220"/>
      <c r="J19" s="220"/>
      <c r="K19" s="378"/>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row>
    <row r="20" spans="1:58" ht="12.75" customHeight="1" x14ac:dyDescent="0.3">
      <c r="B20" s="52"/>
      <c r="C20" s="220" t="s">
        <v>33</v>
      </c>
      <c r="D20" s="220"/>
      <c r="E20" s="220"/>
      <c r="F20" s="220"/>
      <c r="G20" s="220"/>
      <c r="H20" s="220"/>
      <c r="I20" s="220"/>
      <c r="J20" s="220"/>
      <c r="K20" s="378"/>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row>
    <row r="21" spans="1:58" ht="12.75" customHeight="1" x14ac:dyDescent="0.3">
      <c r="B21" s="52"/>
      <c r="C21" s="377"/>
      <c r="D21" s="377"/>
      <c r="E21" s="377"/>
      <c r="F21" s="377"/>
      <c r="G21" s="377"/>
      <c r="H21" s="377"/>
      <c r="I21" s="377"/>
      <c r="J21" s="377"/>
      <c r="K21" s="379"/>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row>
    <row r="22" spans="1:58" ht="12.75" customHeight="1" x14ac:dyDescent="0.3">
      <c r="B22" s="375"/>
      <c r="C22" s="449" t="s">
        <v>34</v>
      </c>
      <c r="D22" s="449"/>
      <c r="E22" s="449"/>
      <c r="F22" s="449"/>
      <c r="G22" s="449"/>
      <c r="H22" s="449"/>
      <c r="I22" s="449"/>
      <c r="J22" s="449"/>
      <c r="K22" s="54"/>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row>
    <row r="23" spans="1:58" ht="12.75" customHeight="1" x14ac:dyDescent="0.3">
      <c r="B23" s="52"/>
      <c r="C23" s="55"/>
      <c r="D23" s="55"/>
      <c r="E23" s="55"/>
      <c r="F23" s="55"/>
      <c r="G23" s="55"/>
      <c r="H23" s="55"/>
      <c r="I23" s="55"/>
      <c r="J23" s="55"/>
      <c r="K23" s="56"/>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row>
    <row r="24" spans="1:58" ht="15.75" customHeight="1" x14ac:dyDescent="0.3">
      <c r="B24" s="340"/>
      <c r="C24" s="442" t="s">
        <v>35</v>
      </c>
      <c r="D24" s="442" t="s">
        <v>36</v>
      </c>
      <c r="E24" s="442" t="s">
        <v>37</v>
      </c>
      <c r="F24" s="442" t="s">
        <v>38</v>
      </c>
      <c r="G24" s="442" t="s">
        <v>39</v>
      </c>
      <c r="H24" s="442" t="s">
        <v>40</v>
      </c>
      <c r="I24" s="447" t="s">
        <v>41</v>
      </c>
      <c r="J24" s="442" t="s">
        <v>42</v>
      </c>
      <c r="K24" s="54"/>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row>
    <row r="25" spans="1:58" ht="15.75" customHeight="1" x14ac:dyDescent="0.3">
      <c r="B25" s="340"/>
      <c r="C25" s="443"/>
      <c r="D25" s="443"/>
      <c r="E25" s="443"/>
      <c r="F25" s="443"/>
      <c r="G25" s="443"/>
      <c r="H25" s="443"/>
      <c r="I25" s="448"/>
      <c r="J25" s="443"/>
      <c r="K25" s="54"/>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row>
    <row r="26" spans="1:58" ht="15.75" customHeight="1" x14ac:dyDescent="0.3">
      <c r="B26" s="340"/>
      <c r="C26" s="443"/>
      <c r="D26" s="443"/>
      <c r="E26" s="443"/>
      <c r="F26" s="443"/>
      <c r="G26" s="443"/>
      <c r="H26" s="443"/>
      <c r="I26" s="448"/>
      <c r="J26" s="443"/>
      <c r="K26" s="54"/>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row>
    <row r="27" spans="1:58" ht="15.75" customHeight="1" x14ac:dyDescent="0.3">
      <c r="B27" s="340"/>
      <c r="C27" s="443"/>
      <c r="D27" s="443"/>
      <c r="E27" s="443"/>
      <c r="F27" s="443"/>
      <c r="G27" s="443"/>
      <c r="H27" s="443"/>
      <c r="I27" s="448"/>
      <c r="J27" s="443"/>
      <c r="K27" s="54"/>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row>
    <row r="28" spans="1:58" ht="15.75" customHeight="1" x14ac:dyDescent="0.3">
      <c r="B28" s="340"/>
      <c r="C28" s="443"/>
      <c r="D28" s="443"/>
      <c r="E28" s="443"/>
      <c r="F28" s="443"/>
      <c r="G28" s="443"/>
      <c r="H28" s="443"/>
      <c r="I28" s="117" t="s">
        <v>43</v>
      </c>
      <c r="J28" s="443"/>
      <c r="K28" s="57"/>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row>
    <row r="29" spans="1:58" s="102" customFormat="1" ht="15.75" customHeight="1" x14ac:dyDescent="0.2">
      <c r="A29" s="372"/>
      <c r="B29" s="341"/>
      <c r="C29" s="58" t="s">
        <v>46</v>
      </c>
      <c r="D29" s="58" t="s">
        <v>47</v>
      </c>
      <c r="E29" s="58" t="s">
        <v>48</v>
      </c>
      <c r="F29" s="58" t="s">
        <v>49</v>
      </c>
      <c r="G29" s="58" t="s">
        <v>50</v>
      </c>
      <c r="H29" s="58" t="s">
        <v>51</v>
      </c>
      <c r="I29" s="58" t="s">
        <v>52</v>
      </c>
      <c r="J29" s="58" t="s">
        <v>53</v>
      </c>
      <c r="K29" s="337" t="str">
        <f>IF(COUNTIF(K31:K170,"S")&gt;0,"S","")</f>
        <v/>
      </c>
    </row>
    <row r="30" spans="1:58" s="102" customFormat="1" ht="15.75" customHeight="1" x14ac:dyDescent="0.3">
      <c r="A30" s="372"/>
      <c r="B30" s="341"/>
      <c r="C30" s="59"/>
      <c r="D30" s="60"/>
      <c r="E30" s="60"/>
      <c r="F30" s="60"/>
      <c r="G30" s="60"/>
      <c r="H30" s="360" t="s">
        <v>54</v>
      </c>
      <c r="I30" s="60"/>
      <c r="J30" s="210"/>
      <c r="K30" s="337" t="str">
        <f>IF(COUNTIF(K31:K170,"M")&gt;0,"M","")</f>
        <v/>
      </c>
    </row>
    <row r="31" spans="1:58" ht="15.75" customHeight="1" x14ac:dyDescent="0.3">
      <c r="A31" s="339" t="e">
        <f>Contacts!$L$11&amp;"_"&amp;'Service Points'!C31</f>
        <v>#REF!</v>
      </c>
      <c r="B31" s="340">
        <f>IF(ISERROR(VLOOKUP(A31,#REF!,1,FALSE)),0,1)</f>
        <v>0</v>
      </c>
      <c r="C31" s="248">
        <v>1</v>
      </c>
      <c r="D31" s="250" t="str">
        <f t="shared" ref="D31:D39" si="0">IF($B31=1,VLOOKUP($A31,LY_ServicePoints,2,FALSE),"")</f>
        <v/>
      </c>
      <c r="E31" s="42" t="str">
        <f t="shared" ref="E31:E39" si="1">IF($B31=1,VLOOKUP($A31,LY_ServicePoints,3,FALSE),"")</f>
        <v/>
      </c>
      <c r="F31" s="42" t="str">
        <f t="shared" ref="F31:F39" si="2">IF($B31=1,VLOOKUP($A31,LY_ServicePoints,4,FALSE),"")</f>
        <v/>
      </c>
      <c r="G31" s="367" t="str">
        <f t="shared" ref="G31:G39" si="3">IF($B31=1,VLOOKUP($A31,LY_ServicePoints,5,FALSE),"")</f>
        <v/>
      </c>
      <c r="H31" s="42"/>
      <c r="I31" s="249" t="str">
        <f t="shared" ref="I31:I39" si="4">IF($B31=1,VLOOKUP($A31,LY_ServicePoints,6,FALSE),"")</f>
        <v/>
      </c>
      <c r="J31" s="103" t="str">
        <f t="shared" ref="J31:J39" si="5">IF($B31=1,VLOOKUP($A31,LY_ServicePoints,7,FALSE),"")</f>
        <v/>
      </c>
      <c r="K31" s="338" t="str">
        <f>IF(AND(ISTEXT(F31),ISTEXT(G31)),LEFT(E31,1),"")</f>
        <v/>
      </c>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row>
    <row r="32" spans="1:58" ht="15.75" customHeight="1" x14ac:dyDescent="0.3">
      <c r="A32" s="339" t="e">
        <f>Contacts!$L$11&amp;"_"&amp;'Service Points'!C32</f>
        <v>#REF!</v>
      </c>
      <c r="B32" s="340">
        <f>IF(ISERROR(VLOOKUP(A32,#REF!,1,FALSE)),0,1)</f>
        <v>0</v>
      </c>
      <c r="C32" s="248">
        <f>C31+1</f>
        <v>2</v>
      </c>
      <c r="D32" s="250" t="str">
        <f t="shared" si="0"/>
        <v/>
      </c>
      <c r="E32" s="42" t="str">
        <f t="shared" si="1"/>
        <v/>
      </c>
      <c r="F32" s="42" t="str">
        <f t="shared" si="2"/>
        <v/>
      </c>
      <c r="G32" s="367" t="str">
        <f t="shared" si="3"/>
        <v/>
      </c>
      <c r="H32" s="42"/>
      <c r="I32" s="249" t="str">
        <f t="shared" si="4"/>
        <v/>
      </c>
      <c r="J32" s="103" t="str">
        <f t="shared" si="5"/>
        <v/>
      </c>
      <c r="K32" s="338" t="str">
        <f t="shared" ref="K32:K95" si="6">IF(AND(ISTEXT(F32),ISTEXT(G32)),LEFT(E32,1),"")</f>
        <v/>
      </c>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row>
    <row r="33" spans="1:58" ht="15.75" customHeight="1" x14ac:dyDescent="0.3">
      <c r="A33" s="339" t="e">
        <f>Contacts!$L$11&amp;"_"&amp;'Service Points'!C33</f>
        <v>#REF!</v>
      </c>
      <c r="B33" s="340">
        <f>IF(ISERROR(VLOOKUP(A33,#REF!,1,FALSE)),0,1)</f>
        <v>0</v>
      </c>
      <c r="C33" s="248">
        <f t="shared" ref="C33:C96" si="7">C32+1</f>
        <v>3</v>
      </c>
      <c r="D33" s="250" t="str">
        <f t="shared" si="0"/>
        <v/>
      </c>
      <c r="E33" s="42" t="str">
        <f t="shared" si="1"/>
        <v/>
      </c>
      <c r="F33" s="42" t="str">
        <f t="shared" si="2"/>
        <v/>
      </c>
      <c r="G33" s="367" t="str">
        <f t="shared" si="3"/>
        <v/>
      </c>
      <c r="H33" s="42"/>
      <c r="I33" s="249" t="str">
        <f t="shared" si="4"/>
        <v/>
      </c>
      <c r="J33" s="103" t="str">
        <f t="shared" si="5"/>
        <v/>
      </c>
      <c r="K33" s="338" t="str">
        <f t="shared" si="6"/>
        <v/>
      </c>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row>
    <row r="34" spans="1:58" ht="15.75" customHeight="1" x14ac:dyDescent="0.3">
      <c r="A34" s="339" t="e">
        <f>Contacts!$L$11&amp;"_"&amp;'Service Points'!C34</f>
        <v>#REF!</v>
      </c>
      <c r="B34" s="340">
        <f>IF(ISERROR(VLOOKUP(A34,#REF!,1,FALSE)),0,1)</f>
        <v>0</v>
      </c>
      <c r="C34" s="248">
        <f t="shared" si="7"/>
        <v>4</v>
      </c>
      <c r="D34" s="250" t="str">
        <f t="shared" si="0"/>
        <v/>
      </c>
      <c r="E34" s="42" t="str">
        <f t="shared" si="1"/>
        <v/>
      </c>
      <c r="F34" s="42" t="str">
        <f t="shared" si="2"/>
        <v/>
      </c>
      <c r="G34" s="367" t="str">
        <f t="shared" si="3"/>
        <v/>
      </c>
      <c r="H34" s="42"/>
      <c r="I34" s="249" t="str">
        <f t="shared" si="4"/>
        <v/>
      </c>
      <c r="J34" s="103" t="str">
        <f t="shared" si="5"/>
        <v/>
      </c>
      <c r="K34" s="338" t="str">
        <f t="shared" si="6"/>
        <v/>
      </c>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row>
    <row r="35" spans="1:58" ht="15.75" customHeight="1" x14ac:dyDescent="0.3">
      <c r="A35" s="339" t="e">
        <f>Contacts!$L$11&amp;"_"&amp;'Service Points'!C35</f>
        <v>#REF!</v>
      </c>
      <c r="B35" s="340">
        <f>IF(ISERROR(VLOOKUP(A35,#REF!,1,FALSE)),0,1)</f>
        <v>0</v>
      </c>
      <c r="C35" s="248">
        <f t="shared" si="7"/>
        <v>5</v>
      </c>
      <c r="D35" s="250" t="str">
        <f t="shared" si="0"/>
        <v/>
      </c>
      <c r="E35" s="42" t="str">
        <f t="shared" si="1"/>
        <v/>
      </c>
      <c r="F35" s="42" t="str">
        <f t="shared" si="2"/>
        <v/>
      </c>
      <c r="G35" s="367" t="str">
        <f t="shared" si="3"/>
        <v/>
      </c>
      <c r="H35" s="42"/>
      <c r="I35" s="249" t="str">
        <f t="shared" si="4"/>
        <v/>
      </c>
      <c r="J35" s="103" t="str">
        <f t="shared" si="5"/>
        <v/>
      </c>
      <c r="K35" s="338" t="str">
        <f t="shared" si="6"/>
        <v/>
      </c>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row>
    <row r="36" spans="1:58" ht="15.75" customHeight="1" x14ac:dyDescent="0.3">
      <c r="A36" s="339" t="e">
        <f>Contacts!$L$11&amp;"_"&amp;'Service Points'!C36</f>
        <v>#REF!</v>
      </c>
      <c r="B36" s="340">
        <f>IF(ISERROR(VLOOKUP(A36,#REF!,1,FALSE)),0,1)</f>
        <v>0</v>
      </c>
      <c r="C36" s="248">
        <f t="shared" si="7"/>
        <v>6</v>
      </c>
      <c r="D36" s="250" t="str">
        <f t="shared" si="0"/>
        <v/>
      </c>
      <c r="E36" s="42" t="str">
        <f t="shared" si="1"/>
        <v/>
      </c>
      <c r="F36" s="42" t="str">
        <f t="shared" si="2"/>
        <v/>
      </c>
      <c r="G36" s="367" t="str">
        <f t="shared" si="3"/>
        <v/>
      </c>
      <c r="H36" s="42"/>
      <c r="I36" s="249" t="str">
        <f t="shared" si="4"/>
        <v/>
      </c>
      <c r="J36" s="103" t="str">
        <f t="shared" si="5"/>
        <v/>
      </c>
      <c r="K36" s="338" t="str">
        <f t="shared" si="6"/>
        <v/>
      </c>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row>
    <row r="37" spans="1:58" ht="15.75" customHeight="1" x14ac:dyDescent="0.3">
      <c r="A37" s="339" t="e">
        <f>Contacts!$L$11&amp;"_"&amp;'Service Points'!C37</f>
        <v>#REF!</v>
      </c>
      <c r="B37" s="340">
        <f>IF(ISERROR(VLOOKUP(A37,#REF!,1,FALSE)),0,1)</f>
        <v>0</v>
      </c>
      <c r="C37" s="248">
        <f t="shared" si="7"/>
        <v>7</v>
      </c>
      <c r="D37" s="250" t="str">
        <f t="shared" si="0"/>
        <v/>
      </c>
      <c r="E37" s="42" t="str">
        <f t="shared" si="1"/>
        <v/>
      </c>
      <c r="F37" s="42" t="str">
        <f t="shared" si="2"/>
        <v/>
      </c>
      <c r="G37" s="367" t="str">
        <f t="shared" si="3"/>
        <v/>
      </c>
      <c r="H37" s="42"/>
      <c r="I37" s="249" t="str">
        <f t="shared" si="4"/>
        <v/>
      </c>
      <c r="J37" s="103" t="str">
        <f t="shared" si="5"/>
        <v/>
      </c>
      <c r="K37" s="338" t="str">
        <f t="shared" si="6"/>
        <v/>
      </c>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row>
    <row r="38" spans="1:58" ht="15.75" customHeight="1" x14ac:dyDescent="0.3">
      <c r="A38" s="339" t="e">
        <f>Contacts!$L$11&amp;"_"&amp;'Service Points'!C38</f>
        <v>#REF!</v>
      </c>
      <c r="B38" s="340">
        <f>IF(ISERROR(VLOOKUP(A38,#REF!,1,FALSE)),0,1)</f>
        <v>0</v>
      </c>
      <c r="C38" s="248">
        <f t="shared" si="7"/>
        <v>8</v>
      </c>
      <c r="D38" s="250" t="str">
        <f t="shared" si="0"/>
        <v/>
      </c>
      <c r="E38" s="42" t="str">
        <f t="shared" si="1"/>
        <v/>
      </c>
      <c r="F38" s="42" t="str">
        <f t="shared" si="2"/>
        <v/>
      </c>
      <c r="G38" s="367" t="str">
        <f t="shared" si="3"/>
        <v/>
      </c>
      <c r="H38" s="42"/>
      <c r="I38" s="249" t="str">
        <f t="shared" si="4"/>
        <v/>
      </c>
      <c r="J38" s="103" t="str">
        <f t="shared" si="5"/>
        <v/>
      </c>
      <c r="K38" s="338" t="str">
        <f t="shared" si="6"/>
        <v/>
      </c>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row>
    <row r="39" spans="1:58" ht="15.75" customHeight="1" x14ac:dyDescent="0.3">
      <c r="A39" s="339" t="e">
        <f>Contacts!$L$11&amp;"_"&amp;'Service Points'!C39</f>
        <v>#REF!</v>
      </c>
      <c r="B39" s="340">
        <f>IF(ISERROR(VLOOKUP(A39,#REF!,1,FALSE)),0,1)</f>
        <v>0</v>
      </c>
      <c r="C39" s="248">
        <f t="shared" si="7"/>
        <v>9</v>
      </c>
      <c r="D39" s="250" t="str">
        <f t="shared" si="0"/>
        <v/>
      </c>
      <c r="E39" s="42" t="str">
        <f t="shared" si="1"/>
        <v/>
      </c>
      <c r="F39" s="42" t="str">
        <f t="shared" si="2"/>
        <v/>
      </c>
      <c r="G39" s="367" t="str">
        <f t="shared" si="3"/>
        <v/>
      </c>
      <c r="H39" s="42"/>
      <c r="I39" s="249" t="str">
        <f t="shared" si="4"/>
        <v/>
      </c>
      <c r="J39" s="103" t="str">
        <f t="shared" si="5"/>
        <v/>
      </c>
      <c r="K39" s="338" t="str">
        <f t="shared" si="6"/>
        <v/>
      </c>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row>
    <row r="40" spans="1:58" ht="15.75" customHeight="1" x14ac:dyDescent="0.3">
      <c r="A40" s="339" t="e">
        <f>Contacts!$L$11&amp;"_"&amp;'Service Points'!C40</f>
        <v>#REF!</v>
      </c>
      <c r="B40" s="340">
        <f>IF(ISERROR(VLOOKUP(A40,#REF!,1,FALSE)),0,1)</f>
        <v>0</v>
      </c>
      <c r="C40" s="248">
        <f t="shared" si="7"/>
        <v>10</v>
      </c>
      <c r="D40" s="250" t="str">
        <f t="shared" ref="D40:D62" si="8">IF($B40=1,VLOOKUP($A40,LY_ServicePoints,2,FALSE),"")</f>
        <v/>
      </c>
      <c r="E40" s="42" t="str">
        <f t="shared" ref="E40:E62" si="9">IF($B40=1,VLOOKUP($A40,LY_ServicePoints,3,FALSE),"")</f>
        <v/>
      </c>
      <c r="F40" s="42" t="str">
        <f t="shared" ref="F40:F62" si="10">IF($B40=1,VLOOKUP($A40,LY_ServicePoints,4,FALSE),"")</f>
        <v/>
      </c>
      <c r="G40" s="367" t="str">
        <f t="shared" ref="G40:G62" si="11">IF($B40=1,VLOOKUP($A40,LY_ServicePoints,5,FALSE),"")</f>
        <v/>
      </c>
      <c r="H40" s="42"/>
      <c r="I40" s="249" t="str">
        <f t="shared" ref="I40:I62" si="12">IF($B40=1,VLOOKUP($A40,LY_ServicePoints,6,FALSE),"")</f>
        <v/>
      </c>
      <c r="J40" s="103" t="str">
        <f t="shared" ref="J40:J62" si="13">IF($B40=1,VLOOKUP($A40,LY_ServicePoints,7,FALSE),"")</f>
        <v/>
      </c>
      <c r="K40" s="338" t="str">
        <f t="shared" si="6"/>
        <v/>
      </c>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row>
    <row r="41" spans="1:58" ht="15.75" customHeight="1" x14ac:dyDescent="0.3">
      <c r="A41" s="339" t="e">
        <f>Contacts!$L$11&amp;"_"&amp;'Service Points'!C41</f>
        <v>#REF!</v>
      </c>
      <c r="B41" s="340">
        <f>IF(ISERROR(VLOOKUP(A41,#REF!,1,FALSE)),0,1)</f>
        <v>0</v>
      </c>
      <c r="C41" s="248">
        <f t="shared" si="7"/>
        <v>11</v>
      </c>
      <c r="D41" s="250" t="str">
        <f t="shared" si="8"/>
        <v/>
      </c>
      <c r="E41" s="42" t="str">
        <f t="shared" si="9"/>
        <v/>
      </c>
      <c r="F41" s="42" t="str">
        <f t="shared" si="10"/>
        <v/>
      </c>
      <c r="G41" s="367" t="str">
        <f t="shared" si="11"/>
        <v/>
      </c>
      <c r="H41" s="42"/>
      <c r="I41" s="249" t="str">
        <f t="shared" si="12"/>
        <v/>
      </c>
      <c r="J41" s="103" t="str">
        <f t="shared" si="13"/>
        <v/>
      </c>
      <c r="K41" s="338" t="str">
        <f t="shared" si="6"/>
        <v/>
      </c>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row>
    <row r="42" spans="1:58" ht="15.75" customHeight="1" x14ac:dyDescent="0.3">
      <c r="A42" s="339" t="e">
        <f>Contacts!$L$11&amp;"_"&amp;'Service Points'!C42</f>
        <v>#REF!</v>
      </c>
      <c r="B42" s="340">
        <f>IF(ISERROR(VLOOKUP(A42,#REF!,1,FALSE)),0,1)</f>
        <v>0</v>
      </c>
      <c r="C42" s="248">
        <f t="shared" si="7"/>
        <v>12</v>
      </c>
      <c r="D42" s="250" t="str">
        <f t="shared" si="8"/>
        <v/>
      </c>
      <c r="E42" s="42" t="str">
        <f t="shared" si="9"/>
        <v/>
      </c>
      <c r="F42" s="42" t="str">
        <f t="shared" si="10"/>
        <v/>
      </c>
      <c r="G42" s="367" t="str">
        <f t="shared" si="11"/>
        <v/>
      </c>
      <c r="H42" s="42"/>
      <c r="I42" s="249" t="str">
        <f t="shared" si="12"/>
        <v/>
      </c>
      <c r="J42" s="103" t="str">
        <f t="shared" si="13"/>
        <v/>
      </c>
      <c r="K42" s="338" t="str">
        <f t="shared" si="6"/>
        <v/>
      </c>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row>
    <row r="43" spans="1:58" ht="15.75" customHeight="1" x14ac:dyDescent="0.3">
      <c r="A43" s="339" t="e">
        <f>Contacts!$L$11&amp;"_"&amp;'Service Points'!C43</f>
        <v>#REF!</v>
      </c>
      <c r="B43" s="340">
        <f>IF(ISERROR(VLOOKUP(A43,#REF!,1,FALSE)),0,1)</f>
        <v>0</v>
      </c>
      <c r="C43" s="248">
        <f t="shared" si="7"/>
        <v>13</v>
      </c>
      <c r="D43" s="250" t="str">
        <f t="shared" si="8"/>
        <v/>
      </c>
      <c r="E43" s="42" t="str">
        <f t="shared" si="9"/>
        <v/>
      </c>
      <c r="F43" s="42" t="str">
        <f t="shared" si="10"/>
        <v/>
      </c>
      <c r="G43" s="367" t="str">
        <f t="shared" si="11"/>
        <v/>
      </c>
      <c r="H43" s="42"/>
      <c r="I43" s="249" t="str">
        <f t="shared" si="12"/>
        <v/>
      </c>
      <c r="J43" s="103" t="str">
        <f t="shared" si="13"/>
        <v/>
      </c>
      <c r="K43" s="338" t="str">
        <f t="shared" si="6"/>
        <v/>
      </c>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row>
    <row r="44" spans="1:58" ht="15.75" customHeight="1" x14ac:dyDescent="0.3">
      <c r="A44" s="339" t="e">
        <f>Contacts!$L$11&amp;"_"&amp;'Service Points'!C44</f>
        <v>#REF!</v>
      </c>
      <c r="B44" s="340">
        <f>IF(ISERROR(VLOOKUP(A44,#REF!,1,FALSE)),0,1)</f>
        <v>0</v>
      </c>
      <c r="C44" s="248">
        <f t="shared" si="7"/>
        <v>14</v>
      </c>
      <c r="D44" s="250" t="str">
        <f t="shared" si="8"/>
        <v/>
      </c>
      <c r="E44" s="42" t="str">
        <f t="shared" si="9"/>
        <v/>
      </c>
      <c r="F44" s="42" t="str">
        <f t="shared" si="10"/>
        <v/>
      </c>
      <c r="G44" s="367" t="str">
        <f t="shared" si="11"/>
        <v/>
      </c>
      <c r="H44" s="42"/>
      <c r="I44" s="249" t="str">
        <f t="shared" si="12"/>
        <v/>
      </c>
      <c r="J44" s="103" t="str">
        <f t="shared" si="13"/>
        <v/>
      </c>
      <c r="K44" s="338" t="str">
        <f t="shared" si="6"/>
        <v/>
      </c>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row>
    <row r="45" spans="1:58" ht="15.75" customHeight="1" x14ac:dyDescent="0.3">
      <c r="A45" s="339" t="e">
        <f>Contacts!$L$11&amp;"_"&amp;'Service Points'!C45</f>
        <v>#REF!</v>
      </c>
      <c r="B45" s="340">
        <f>IF(ISERROR(VLOOKUP(A45,#REF!,1,FALSE)),0,1)</f>
        <v>0</v>
      </c>
      <c r="C45" s="248">
        <f t="shared" si="7"/>
        <v>15</v>
      </c>
      <c r="D45" s="250" t="str">
        <f t="shared" si="8"/>
        <v/>
      </c>
      <c r="E45" s="42" t="str">
        <f t="shared" si="9"/>
        <v/>
      </c>
      <c r="F45" s="42" t="str">
        <f t="shared" si="10"/>
        <v/>
      </c>
      <c r="G45" s="367" t="str">
        <f t="shared" si="11"/>
        <v/>
      </c>
      <c r="H45" s="42"/>
      <c r="I45" s="249" t="str">
        <f t="shared" si="12"/>
        <v/>
      </c>
      <c r="J45" s="103" t="str">
        <f t="shared" si="13"/>
        <v/>
      </c>
      <c r="K45" s="338" t="str">
        <f t="shared" si="6"/>
        <v/>
      </c>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row>
    <row r="46" spans="1:58" ht="15.75" customHeight="1" x14ac:dyDescent="0.3">
      <c r="A46" s="339" t="e">
        <f>Contacts!$L$11&amp;"_"&amp;'Service Points'!C46</f>
        <v>#REF!</v>
      </c>
      <c r="B46" s="340">
        <f>IF(ISERROR(VLOOKUP(A46,#REF!,1,FALSE)),0,1)</f>
        <v>0</v>
      </c>
      <c r="C46" s="248">
        <f t="shared" si="7"/>
        <v>16</v>
      </c>
      <c r="D46" s="250" t="str">
        <f t="shared" si="8"/>
        <v/>
      </c>
      <c r="E46" s="42" t="str">
        <f t="shared" si="9"/>
        <v/>
      </c>
      <c r="F46" s="42" t="str">
        <f t="shared" si="10"/>
        <v/>
      </c>
      <c r="G46" s="367" t="str">
        <f t="shared" si="11"/>
        <v/>
      </c>
      <c r="H46" s="42"/>
      <c r="I46" s="249" t="str">
        <f t="shared" si="12"/>
        <v/>
      </c>
      <c r="J46" s="103" t="str">
        <f t="shared" si="13"/>
        <v/>
      </c>
      <c r="K46" s="338" t="str">
        <f t="shared" si="6"/>
        <v/>
      </c>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row>
    <row r="47" spans="1:58" ht="15.75" customHeight="1" x14ac:dyDescent="0.3">
      <c r="A47" s="339" t="e">
        <f>Contacts!$L$11&amp;"_"&amp;'Service Points'!C47</f>
        <v>#REF!</v>
      </c>
      <c r="B47" s="340">
        <f>IF(ISERROR(VLOOKUP(A47,#REF!,1,FALSE)),0,1)</f>
        <v>0</v>
      </c>
      <c r="C47" s="248">
        <f t="shared" si="7"/>
        <v>17</v>
      </c>
      <c r="D47" s="250" t="str">
        <f t="shared" si="8"/>
        <v/>
      </c>
      <c r="E47" s="42" t="str">
        <f t="shared" si="9"/>
        <v/>
      </c>
      <c r="F47" s="42" t="str">
        <f t="shared" si="10"/>
        <v/>
      </c>
      <c r="G47" s="367" t="str">
        <f t="shared" si="11"/>
        <v/>
      </c>
      <c r="H47" s="42"/>
      <c r="I47" s="249" t="str">
        <f t="shared" si="12"/>
        <v/>
      </c>
      <c r="J47" s="103" t="str">
        <f t="shared" si="13"/>
        <v/>
      </c>
      <c r="K47" s="338" t="str">
        <f t="shared" si="6"/>
        <v/>
      </c>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row>
    <row r="48" spans="1:58" ht="15.75" customHeight="1" x14ac:dyDescent="0.3">
      <c r="A48" s="339" t="e">
        <f>Contacts!$L$11&amp;"_"&amp;'Service Points'!C48</f>
        <v>#REF!</v>
      </c>
      <c r="B48" s="340">
        <f>IF(ISERROR(VLOOKUP(A48,#REF!,1,FALSE)),0,1)</f>
        <v>0</v>
      </c>
      <c r="C48" s="248">
        <f t="shared" si="7"/>
        <v>18</v>
      </c>
      <c r="D48" s="250" t="str">
        <f t="shared" si="8"/>
        <v/>
      </c>
      <c r="E48" s="42" t="str">
        <f t="shared" si="9"/>
        <v/>
      </c>
      <c r="F48" s="42">
        <v>47</v>
      </c>
      <c r="G48" s="367" t="str">
        <f t="shared" si="11"/>
        <v/>
      </c>
      <c r="H48" s="42"/>
      <c r="I48" s="249" t="str">
        <f t="shared" si="12"/>
        <v/>
      </c>
      <c r="J48" s="103" t="str">
        <f t="shared" si="13"/>
        <v/>
      </c>
      <c r="K48" s="338" t="str">
        <f t="shared" si="6"/>
        <v/>
      </c>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row>
    <row r="49" spans="1:58" ht="15.75" customHeight="1" x14ac:dyDescent="0.3">
      <c r="A49" s="339" t="e">
        <f>Contacts!$L$11&amp;"_"&amp;'Service Points'!C49</f>
        <v>#REF!</v>
      </c>
      <c r="B49" s="340">
        <f>IF(ISERROR(VLOOKUP(A49,#REF!,1,FALSE)),0,1)</f>
        <v>0</v>
      </c>
      <c r="C49" s="248">
        <f t="shared" si="7"/>
        <v>19</v>
      </c>
      <c r="D49" s="250" t="str">
        <f t="shared" si="8"/>
        <v/>
      </c>
      <c r="E49" s="42" t="str">
        <f t="shared" si="9"/>
        <v/>
      </c>
      <c r="F49" s="42" t="str">
        <f t="shared" si="10"/>
        <v/>
      </c>
      <c r="G49" s="367" t="str">
        <f t="shared" si="11"/>
        <v/>
      </c>
      <c r="H49" s="42"/>
      <c r="I49" s="249" t="str">
        <f t="shared" si="12"/>
        <v/>
      </c>
      <c r="J49" s="103" t="str">
        <f t="shared" si="13"/>
        <v/>
      </c>
      <c r="K49" s="338" t="str">
        <f t="shared" si="6"/>
        <v/>
      </c>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row>
    <row r="50" spans="1:58" ht="15.75" customHeight="1" x14ac:dyDescent="0.3">
      <c r="A50" s="339" t="e">
        <f>Contacts!$L$11&amp;"_"&amp;'Service Points'!C50</f>
        <v>#REF!</v>
      </c>
      <c r="B50" s="340">
        <f>IF(ISERROR(VLOOKUP(A50,#REF!,1,FALSE)),0,1)</f>
        <v>0</v>
      </c>
      <c r="C50" s="248">
        <f t="shared" si="7"/>
        <v>20</v>
      </c>
      <c r="D50" s="250" t="str">
        <f t="shared" si="8"/>
        <v/>
      </c>
      <c r="E50" s="42" t="str">
        <f t="shared" si="9"/>
        <v/>
      </c>
      <c r="F50" s="42" t="str">
        <f t="shared" si="10"/>
        <v/>
      </c>
      <c r="G50" s="367" t="str">
        <f t="shared" si="11"/>
        <v/>
      </c>
      <c r="H50" s="42"/>
      <c r="I50" s="249" t="str">
        <f t="shared" si="12"/>
        <v/>
      </c>
      <c r="J50" s="103" t="str">
        <f t="shared" si="13"/>
        <v/>
      </c>
      <c r="K50" s="338" t="str">
        <f t="shared" si="6"/>
        <v/>
      </c>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row>
    <row r="51" spans="1:58" ht="15.75" customHeight="1" x14ac:dyDescent="0.3">
      <c r="A51" s="339" t="e">
        <f>Contacts!$L$11&amp;"_"&amp;'Service Points'!C51</f>
        <v>#REF!</v>
      </c>
      <c r="B51" s="340">
        <f>IF(ISERROR(VLOOKUP(A51,#REF!,1,FALSE)),0,1)</f>
        <v>0</v>
      </c>
      <c r="C51" s="248">
        <f t="shared" si="7"/>
        <v>21</v>
      </c>
      <c r="D51" s="250" t="str">
        <f t="shared" si="8"/>
        <v/>
      </c>
      <c r="E51" s="42" t="str">
        <f t="shared" si="9"/>
        <v/>
      </c>
      <c r="F51" s="42" t="str">
        <f t="shared" si="10"/>
        <v/>
      </c>
      <c r="G51" s="367" t="str">
        <f t="shared" si="11"/>
        <v/>
      </c>
      <c r="H51" s="42"/>
      <c r="I51" s="249" t="str">
        <f t="shared" si="12"/>
        <v/>
      </c>
      <c r="J51" s="103" t="str">
        <f t="shared" si="13"/>
        <v/>
      </c>
      <c r="K51" s="338" t="str">
        <f t="shared" si="6"/>
        <v/>
      </c>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row>
    <row r="52" spans="1:58" ht="15.75" customHeight="1" x14ac:dyDescent="0.3">
      <c r="A52" s="339" t="e">
        <f>Contacts!$L$11&amp;"_"&amp;'Service Points'!C52</f>
        <v>#REF!</v>
      </c>
      <c r="B52" s="340">
        <f>IF(ISERROR(VLOOKUP(A52,#REF!,1,FALSE)),0,1)</f>
        <v>0</v>
      </c>
      <c r="C52" s="248">
        <f t="shared" si="7"/>
        <v>22</v>
      </c>
      <c r="D52" s="250" t="str">
        <f t="shared" si="8"/>
        <v/>
      </c>
      <c r="E52" s="42" t="str">
        <f t="shared" si="9"/>
        <v/>
      </c>
      <c r="F52" s="42" t="str">
        <f t="shared" si="10"/>
        <v/>
      </c>
      <c r="G52" s="367" t="str">
        <f t="shared" si="11"/>
        <v/>
      </c>
      <c r="H52" s="42"/>
      <c r="I52" s="249" t="str">
        <f t="shared" si="12"/>
        <v/>
      </c>
      <c r="J52" s="103" t="str">
        <f t="shared" si="13"/>
        <v/>
      </c>
      <c r="K52" s="338" t="str">
        <f t="shared" si="6"/>
        <v/>
      </c>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row>
    <row r="53" spans="1:58" ht="15.75" customHeight="1" x14ac:dyDescent="0.3">
      <c r="A53" s="339" t="e">
        <f>Contacts!$L$11&amp;"_"&amp;'Service Points'!C53</f>
        <v>#REF!</v>
      </c>
      <c r="B53" s="340">
        <f>IF(ISERROR(VLOOKUP(A53,#REF!,1,FALSE)),0,1)</f>
        <v>0</v>
      </c>
      <c r="C53" s="248">
        <f t="shared" si="7"/>
        <v>23</v>
      </c>
      <c r="D53" s="250" t="str">
        <f t="shared" si="8"/>
        <v/>
      </c>
      <c r="E53" s="42" t="str">
        <f t="shared" si="9"/>
        <v/>
      </c>
      <c r="F53" s="42">
        <v>22.5</v>
      </c>
      <c r="G53" s="367" t="str">
        <f t="shared" si="11"/>
        <v/>
      </c>
      <c r="H53" s="42"/>
      <c r="I53" s="249" t="str">
        <f t="shared" si="12"/>
        <v/>
      </c>
      <c r="J53" s="103" t="str">
        <f t="shared" si="13"/>
        <v/>
      </c>
      <c r="K53" s="338" t="str">
        <f t="shared" si="6"/>
        <v/>
      </c>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row>
    <row r="54" spans="1:58" ht="15.75" customHeight="1" x14ac:dyDescent="0.3">
      <c r="A54" s="339" t="e">
        <f>Contacts!$L$11&amp;"_"&amp;'Service Points'!C54</f>
        <v>#REF!</v>
      </c>
      <c r="B54" s="340">
        <f>IF(ISERROR(VLOOKUP(A54,#REF!,1,FALSE)),0,1)</f>
        <v>0</v>
      </c>
      <c r="C54" s="248">
        <f t="shared" si="7"/>
        <v>24</v>
      </c>
      <c r="D54" s="250" t="str">
        <f t="shared" si="8"/>
        <v/>
      </c>
      <c r="E54" s="42" t="str">
        <f t="shared" si="9"/>
        <v/>
      </c>
      <c r="F54" s="42" t="str">
        <f t="shared" si="10"/>
        <v/>
      </c>
      <c r="G54" s="367" t="str">
        <f t="shared" si="11"/>
        <v/>
      </c>
      <c r="H54" s="42"/>
      <c r="I54" s="249" t="str">
        <f t="shared" si="12"/>
        <v/>
      </c>
      <c r="J54" s="103" t="str">
        <f t="shared" si="13"/>
        <v/>
      </c>
      <c r="K54" s="338" t="str">
        <f t="shared" si="6"/>
        <v/>
      </c>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row>
    <row r="55" spans="1:58" ht="15.75" customHeight="1" x14ac:dyDescent="0.3">
      <c r="A55" s="339" t="e">
        <f>Contacts!$L$11&amp;"_"&amp;'Service Points'!C55</f>
        <v>#REF!</v>
      </c>
      <c r="B55" s="340">
        <f>IF(ISERROR(VLOOKUP(A55,#REF!,1,FALSE)),0,1)</f>
        <v>0</v>
      </c>
      <c r="C55" s="248">
        <f t="shared" si="7"/>
        <v>25</v>
      </c>
      <c r="D55" s="250" t="str">
        <f t="shared" si="8"/>
        <v/>
      </c>
      <c r="E55" s="42" t="str">
        <f t="shared" si="9"/>
        <v/>
      </c>
      <c r="F55" s="42" t="str">
        <f t="shared" si="10"/>
        <v/>
      </c>
      <c r="G55" s="367" t="str">
        <f t="shared" si="11"/>
        <v/>
      </c>
      <c r="H55" s="42"/>
      <c r="I55" s="249" t="str">
        <f t="shared" si="12"/>
        <v/>
      </c>
      <c r="J55" s="103" t="str">
        <f t="shared" si="13"/>
        <v/>
      </c>
      <c r="K55" s="338" t="str">
        <f t="shared" si="6"/>
        <v/>
      </c>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row>
    <row r="56" spans="1:58" ht="15.75" customHeight="1" x14ac:dyDescent="0.3">
      <c r="A56" s="339" t="e">
        <f>Contacts!$L$11&amp;"_"&amp;'Service Points'!C56</f>
        <v>#REF!</v>
      </c>
      <c r="B56" s="340">
        <f>IF(ISERROR(VLOOKUP(A56,#REF!,1,FALSE)),0,1)</f>
        <v>0</v>
      </c>
      <c r="C56" s="248">
        <f t="shared" si="7"/>
        <v>26</v>
      </c>
      <c r="D56" s="250" t="str">
        <f t="shared" si="8"/>
        <v/>
      </c>
      <c r="E56" s="42" t="str">
        <f t="shared" si="9"/>
        <v/>
      </c>
      <c r="F56" s="42" t="str">
        <f t="shared" si="10"/>
        <v/>
      </c>
      <c r="G56" s="367" t="str">
        <f t="shared" si="11"/>
        <v/>
      </c>
      <c r="H56" s="42"/>
      <c r="I56" s="249" t="str">
        <f t="shared" si="12"/>
        <v/>
      </c>
      <c r="J56" s="103" t="str">
        <f t="shared" si="13"/>
        <v/>
      </c>
      <c r="K56" s="338" t="str">
        <f t="shared" si="6"/>
        <v/>
      </c>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row>
    <row r="57" spans="1:58" ht="15.75" customHeight="1" x14ac:dyDescent="0.3">
      <c r="A57" s="339" t="e">
        <f>Contacts!$L$11&amp;"_"&amp;'Service Points'!C57</f>
        <v>#REF!</v>
      </c>
      <c r="B57" s="340">
        <f>IF(ISERROR(VLOOKUP(A57,#REF!,1,FALSE)),0,1)</f>
        <v>0</v>
      </c>
      <c r="C57" s="248">
        <f t="shared" si="7"/>
        <v>27</v>
      </c>
      <c r="D57" s="250" t="str">
        <f t="shared" si="8"/>
        <v/>
      </c>
      <c r="E57" s="42" t="str">
        <f t="shared" si="9"/>
        <v/>
      </c>
      <c r="F57" s="42" t="str">
        <f t="shared" si="10"/>
        <v/>
      </c>
      <c r="G57" s="367" t="str">
        <f t="shared" si="11"/>
        <v/>
      </c>
      <c r="H57" s="42"/>
      <c r="I57" s="249" t="str">
        <f t="shared" si="12"/>
        <v/>
      </c>
      <c r="J57" s="103" t="str">
        <f t="shared" si="13"/>
        <v/>
      </c>
      <c r="K57" s="338" t="str">
        <f t="shared" si="6"/>
        <v/>
      </c>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row>
    <row r="58" spans="1:58" ht="15.75" customHeight="1" x14ac:dyDescent="0.3">
      <c r="A58" s="339" t="e">
        <f>Contacts!$L$11&amp;"_"&amp;'Service Points'!C58</f>
        <v>#REF!</v>
      </c>
      <c r="B58" s="340">
        <f>IF(ISERROR(VLOOKUP(A58,#REF!,1,FALSE)),0,1)</f>
        <v>0</v>
      </c>
      <c r="C58" s="248">
        <f t="shared" si="7"/>
        <v>28</v>
      </c>
      <c r="D58" s="250" t="str">
        <f t="shared" si="8"/>
        <v/>
      </c>
      <c r="E58" s="42" t="str">
        <f t="shared" si="9"/>
        <v/>
      </c>
      <c r="F58" s="42" t="str">
        <f t="shared" si="10"/>
        <v/>
      </c>
      <c r="G58" s="367" t="str">
        <f t="shared" si="11"/>
        <v/>
      </c>
      <c r="H58" s="42"/>
      <c r="I58" s="249" t="str">
        <f t="shared" si="12"/>
        <v/>
      </c>
      <c r="J58" s="103" t="str">
        <f t="shared" si="13"/>
        <v/>
      </c>
      <c r="K58" s="338" t="str">
        <f t="shared" si="6"/>
        <v/>
      </c>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row>
    <row r="59" spans="1:58" ht="15.75" customHeight="1" x14ac:dyDescent="0.3">
      <c r="A59" s="339" t="e">
        <f>Contacts!$L$11&amp;"_"&amp;'Service Points'!C59</f>
        <v>#REF!</v>
      </c>
      <c r="B59" s="340">
        <f>IF(ISERROR(VLOOKUP(A59,#REF!,1,FALSE)),0,1)</f>
        <v>0</v>
      </c>
      <c r="C59" s="248">
        <f t="shared" si="7"/>
        <v>29</v>
      </c>
      <c r="D59" s="250" t="str">
        <f t="shared" si="8"/>
        <v/>
      </c>
      <c r="E59" s="42" t="str">
        <f t="shared" si="9"/>
        <v/>
      </c>
      <c r="F59" s="42">
        <v>16.399999999999999</v>
      </c>
      <c r="G59" s="367" t="str">
        <f t="shared" si="11"/>
        <v/>
      </c>
      <c r="H59" s="42"/>
      <c r="I59" s="249" t="str">
        <f t="shared" si="12"/>
        <v/>
      </c>
      <c r="J59" s="103" t="str">
        <f t="shared" si="13"/>
        <v/>
      </c>
      <c r="K59" s="338" t="str">
        <f t="shared" si="6"/>
        <v/>
      </c>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row>
    <row r="60" spans="1:58" ht="15.75" customHeight="1" x14ac:dyDescent="0.3">
      <c r="A60" s="339" t="e">
        <f>Contacts!$L$11&amp;"_"&amp;'Service Points'!C60</f>
        <v>#REF!</v>
      </c>
      <c r="B60" s="340">
        <f>IF(ISERROR(VLOOKUP(A60,#REF!,1,FALSE)),0,1)</f>
        <v>0</v>
      </c>
      <c r="C60" s="248">
        <f t="shared" si="7"/>
        <v>30</v>
      </c>
      <c r="D60" s="380"/>
      <c r="E60" s="42"/>
      <c r="F60" s="42"/>
      <c r="G60" s="367"/>
      <c r="H60" s="42"/>
      <c r="I60" s="249"/>
      <c r="J60" s="103"/>
      <c r="K60" s="338" t="str">
        <f t="shared" si="6"/>
        <v/>
      </c>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row>
    <row r="61" spans="1:58" ht="15.75" customHeight="1" x14ac:dyDescent="0.3">
      <c r="A61" s="339" t="e">
        <f>Contacts!$L$11&amp;"_"&amp;'Service Points'!C61</f>
        <v>#REF!</v>
      </c>
      <c r="B61" s="340">
        <f>IF(ISERROR(VLOOKUP(A61,#REF!,1,FALSE)),0,1)</f>
        <v>0</v>
      </c>
      <c r="C61" s="248">
        <f t="shared" si="7"/>
        <v>31</v>
      </c>
      <c r="D61" s="380" t="str">
        <f t="shared" si="8"/>
        <v/>
      </c>
      <c r="E61" s="42" t="str">
        <f t="shared" si="9"/>
        <v/>
      </c>
      <c r="F61" s="42">
        <v>0</v>
      </c>
      <c r="G61" s="367" t="str">
        <f t="shared" si="11"/>
        <v/>
      </c>
      <c r="H61" s="42"/>
      <c r="I61" s="249" t="str">
        <f t="shared" si="12"/>
        <v/>
      </c>
      <c r="J61" s="103" t="str">
        <f t="shared" si="13"/>
        <v/>
      </c>
      <c r="K61" s="338" t="str">
        <f t="shared" si="6"/>
        <v/>
      </c>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row>
    <row r="62" spans="1:58" ht="15.75" customHeight="1" x14ac:dyDescent="0.3">
      <c r="A62" s="339" t="e">
        <f>Contacts!$L$11&amp;"_"&amp;'Service Points'!C62</f>
        <v>#REF!</v>
      </c>
      <c r="B62" s="340">
        <f>IF(ISERROR(VLOOKUP(A62,#REF!,1,FALSE)),0,1)</f>
        <v>0</v>
      </c>
      <c r="C62" s="248">
        <f t="shared" si="7"/>
        <v>32</v>
      </c>
      <c r="D62" s="250" t="str">
        <f t="shared" si="8"/>
        <v/>
      </c>
      <c r="E62" s="42" t="str">
        <f t="shared" si="9"/>
        <v/>
      </c>
      <c r="F62" s="42" t="str">
        <f t="shared" si="10"/>
        <v/>
      </c>
      <c r="G62" s="367" t="str">
        <f t="shared" si="11"/>
        <v/>
      </c>
      <c r="H62" s="42"/>
      <c r="I62" s="249" t="str">
        <f t="shared" si="12"/>
        <v/>
      </c>
      <c r="J62" s="103" t="str">
        <f t="shared" si="13"/>
        <v/>
      </c>
      <c r="K62" s="338" t="str">
        <f t="shared" si="6"/>
        <v/>
      </c>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row>
    <row r="63" spans="1:58" ht="15.75" customHeight="1" x14ac:dyDescent="0.3">
      <c r="A63" s="339" t="e">
        <f>Contacts!$L$11&amp;"_"&amp;'Service Points'!C63</f>
        <v>#REF!</v>
      </c>
      <c r="B63" s="340">
        <f>IF(ISERROR(VLOOKUP(A63,#REF!,1,FALSE)),0,1)</f>
        <v>0</v>
      </c>
      <c r="C63" s="248">
        <f t="shared" si="7"/>
        <v>33</v>
      </c>
      <c r="D63" s="250" t="str">
        <f t="shared" ref="D63:D94" si="14">IF($B63=1,VLOOKUP($A63,LY_ServicePoints,2,FALSE),"")</f>
        <v/>
      </c>
      <c r="E63" s="42" t="str">
        <f t="shared" ref="E63:E94" si="15">IF($B63=1,VLOOKUP($A63,LY_ServicePoints,3,FALSE),"")</f>
        <v/>
      </c>
      <c r="F63" s="42" t="str">
        <f t="shared" ref="F63:F94" si="16">IF($B63=1,VLOOKUP($A63,LY_ServicePoints,4,FALSE),"")</f>
        <v/>
      </c>
      <c r="G63" s="367" t="str">
        <f t="shared" ref="G63:G94" si="17">IF($B63=1,VLOOKUP($A63,LY_ServicePoints,5,FALSE),"")</f>
        <v/>
      </c>
      <c r="H63" s="42"/>
      <c r="I63" s="249" t="str">
        <f t="shared" ref="I63:I94" si="18">IF($B63=1,VLOOKUP($A63,LY_ServicePoints,6,FALSE),"")</f>
        <v/>
      </c>
      <c r="J63" s="103" t="str">
        <f t="shared" ref="J63:J94" si="19">IF($B63=1,VLOOKUP($A63,LY_ServicePoints,7,FALSE),"")</f>
        <v/>
      </c>
      <c r="K63" s="338" t="str">
        <f t="shared" si="6"/>
        <v/>
      </c>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row>
    <row r="64" spans="1:58" ht="15.75" customHeight="1" x14ac:dyDescent="0.3">
      <c r="A64" s="339" t="e">
        <f>Contacts!$L$11&amp;"_"&amp;'Service Points'!C64</f>
        <v>#REF!</v>
      </c>
      <c r="B64" s="340">
        <f>IF(ISERROR(VLOOKUP(A64,#REF!,1,FALSE)),0,1)</f>
        <v>0</v>
      </c>
      <c r="C64" s="248">
        <f t="shared" si="7"/>
        <v>34</v>
      </c>
      <c r="D64" s="250" t="str">
        <f t="shared" si="14"/>
        <v/>
      </c>
      <c r="E64" s="42" t="str">
        <f t="shared" si="15"/>
        <v/>
      </c>
      <c r="F64" s="42" t="str">
        <f t="shared" si="16"/>
        <v/>
      </c>
      <c r="G64" s="367" t="str">
        <f t="shared" si="17"/>
        <v/>
      </c>
      <c r="H64" s="42"/>
      <c r="I64" s="249" t="str">
        <f t="shared" si="18"/>
        <v/>
      </c>
      <c r="J64" s="103" t="str">
        <f t="shared" si="19"/>
        <v/>
      </c>
      <c r="K64" s="338" t="str">
        <f t="shared" si="6"/>
        <v/>
      </c>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row>
    <row r="65" spans="1:58" ht="15.75" customHeight="1" x14ac:dyDescent="0.3">
      <c r="A65" s="339" t="e">
        <f>Contacts!$L$11&amp;"_"&amp;'Service Points'!C65</f>
        <v>#REF!</v>
      </c>
      <c r="B65" s="340">
        <f>IF(ISERROR(VLOOKUP(A65,#REF!,1,FALSE)),0,1)</f>
        <v>0</v>
      </c>
      <c r="C65" s="248">
        <f t="shared" si="7"/>
        <v>35</v>
      </c>
      <c r="D65" s="250" t="str">
        <f t="shared" si="14"/>
        <v/>
      </c>
      <c r="E65" s="42" t="str">
        <f t="shared" si="15"/>
        <v/>
      </c>
      <c r="F65" s="42" t="str">
        <f t="shared" si="16"/>
        <v/>
      </c>
      <c r="G65" s="367" t="str">
        <f t="shared" si="17"/>
        <v/>
      </c>
      <c r="H65" s="42"/>
      <c r="I65" s="249" t="str">
        <f t="shared" si="18"/>
        <v/>
      </c>
      <c r="J65" s="103" t="str">
        <f t="shared" si="19"/>
        <v/>
      </c>
      <c r="K65" s="338" t="str">
        <f t="shared" si="6"/>
        <v/>
      </c>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row>
    <row r="66" spans="1:58" ht="15.75" customHeight="1" x14ac:dyDescent="0.3">
      <c r="A66" s="339" t="e">
        <f>Contacts!$L$11&amp;"_"&amp;'Service Points'!C66</f>
        <v>#REF!</v>
      </c>
      <c r="B66" s="340">
        <f>IF(ISERROR(VLOOKUP(A66,#REF!,1,FALSE)),0,1)</f>
        <v>0</v>
      </c>
      <c r="C66" s="248">
        <f t="shared" si="7"/>
        <v>36</v>
      </c>
      <c r="D66" s="250" t="str">
        <f t="shared" si="14"/>
        <v/>
      </c>
      <c r="E66" s="42" t="str">
        <f t="shared" si="15"/>
        <v/>
      </c>
      <c r="F66" s="42" t="str">
        <f t="shared" si="16"/>
        <v/>
      </c>
      <c r="G66" s="367" t="str">
        <f t="shared" si="17"/>
        <v/>
      </c>
      <c r="H66" s="42"/>
      <c r="I66" s="249" t="str">
        <f t="shared" si="18"/>
        <v/>
      </c>
      <c r="J66" s="103" t="str">
        <f t="shared" si="19"/>
        <v/>
      </c>
      <c r="K66" s="338" t="str">
        <f t="shared" si="6"/>
        <v/>
      </c>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row>
    <row r="67" spans="1:58" ht="15.75" customHeight="1" x14ac:dyDescent="0.3">
      <c r="A67" s="339" t="e">
        <f>Contacts!$L$11&amp;"_"&amp;'Service Points'!C67</f>
        <v>#REF!</v>
      </c>
      <c r="B67" s="340">
        <f>IF(ISERROR(VLOOKUP(A67,#REF!,1,FALSE)),0,1)</f>
        <v>0</v>
      </c>
      <c r="C67" s="248">
        <f t="shared" si="7"/>
        <v>37</v>
      </c>
      <c r="D67" s="250" t="str">
        <f t="shared" si="14"/>
        <v/>
      </c>
      <c r="E67" s="42" t="str">
        <f t="shared" si="15"/>
        <v/>
      </c>
      <c r="F67" s="42" t="str">
        <f t="shared" si="16"/>
        <v/>
      </c>
      <c r="G67" s="367" t="str">
        <f t="shared" si="17"/>
        <v/>
      </c>
      <c r="H67" s="42"/>
      <c r="I67" s="249" t="str">
        <f t="shared" si="18"/>
        <v/>
      </c>
      <c r="J67" s="103" t="str">
        <f t="shared" si="19"/>
        <v/>
      </c>
      <c r="K67" s="338" t="str">
        <f t="shared" si="6"/>
        <v/>
      </c>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row>
    <row r="68" spans="1:58" ht="15.75" customHeight="1" x14ac:dyDescent="0.3">
      <c r="A68" s="339" t="e">
        <f>Contacts!$L$11&amp;"_"&amp;'Service Points'!C68</f>
        <v>#REF!</v>
      </c>
      <c r="B68" s="340">
        <f>IF(ISERROR(VLOOKUP(A68,#REF!,1,FALSE)),0,1)</f>
        <v>0</v>
      </c>
      <c r="C68" s="248">
        <f t="shared" si="7"/>
        <v>38</v>
      </c>
      <c r="D68" s="250" t="str">
        <f t="shared" si="14"/>
        <v/>
      </c>
      <c r="E68" s="42" t="str">
        <f t="shared" si="15"/>
        <v/>
      </c>
      <c r="F68" s="42" t="str">
        <f t="shared" si="16"/>
        <v/>
      </c>
      <c r="G68" s="367" t="str">
        <f t="shared" si="17"/>
        <v/>
      </c>
      <c r="H68" s="42"/>
      <c r="I68" s="249" t="str">
        <f t="shared" si="18"/>
        <v/>
      </c>
      <c r="J68" s="103" t="str">
        <f t="shared" si="19"/>
        <v/>
      </c>
      <c r="K68" s="338" t="str">
        <f t="shared" si="6"/>
        <v/>
      </c>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row>
    <row r="69" spans="1:58" ht="15.75" customHeight="1" x14ac:dyDescent="0.3">
      <c r="A69" s="339" t="e">
        <f>Contacts!$L$11&amp;"_"&amp;'Service Points'!C69</f>
        <v>#REF!</v>
      </c>
      <c r="B69" s="340">
        <f>IF(ISERROR(VLOOKUP(A69,#REF!,1,FALSE)),0,1)</f>
        <v>0</v>
      </c>
      <c r="C69" s="248">
        <f t="shared" si="7"/>
        <v>39</v>
      </c>
      <c r="D69" s="250" t="str">
        <f t="shared" si="14"/>
        <v/>
      </c>
      <c r="E69" s="42" t="str">
        <f t="shared" si="15"/>
        <v/>
      </c>
      <c r="F69" s="42" t="str">
        <f t="shared" si="16"/>
        <v/>
      </c>
      <c r="G69" s="367" t="str">
        <f t="shared" si="17"/>
        <v/>
      </c>
      <c r="H69" s="42"/>
      <c r="I69" s="249" t="str">
        <f t="shared" si="18"/>
        <v/>
      </c>
      <c r="J69" s="103" t="str">
        <f t="shared" si="19"/>
        <v/>
      </c>
      <c r="K69" s="338" t="str">
        <f t="shared" si="6"/>
        <v/>
      </c>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row>
    <row r="70" spans="1:58" ht="15.75" customHeight="1" x14ac:dyDescent="0.3">
      <c r="A70" s="339" t="e">
        <f>Contacts!$L$11&amp;"_"&amp;'Service Points'!C70</f>
        <v>#REF!</v>
      </c>
      <c r="B70" s="340">
        <f>IF(ISERROR(VLOOKUP(A70,#REF!,1,FALSE)),0,1)</f>
        <v>0</v>
      </c>
      <c r="C70" s="248">
        <f t="shared" si="7"/>
        <v>40</v>
      </c>
      <c r="D70" s="250" t="str">
        <f t="shared" si="14"/>
        <v/>
      </c>
      <c r="E70" s="42" t="str">
        <f t="shared" si="15"/>
        <v/>
      </c>
      <c r="F70" s="42" t="str">
        <f t="shared" si="16"/>
        <v/>
      </c>
      <c r="G70" s="367" t="str">
        <f t="shared" si="17"/>
        <v/>
      </c>
      <c r="H70" s="42"/>
      <c r="I70" s="249" t="str">
        <f t="shared" si="18"/>
        <v/>
      </c>
      <c r="J70" s="103" t="str">
        <f t="shared" si="19"/>
        <v/>
      </c>
      <c r="K70" s="338" t="str">
        <f t="shared" si="6"/>
        <v/>
      </c>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row>
    <row r="71" spans="1:58" ht="15.75" customHeight="1" x14ac:dyDescent="0.3">
      <c r="A71" s="339" t="e">
        <f>Contacts!$L$11&amp;"_"&amp;'Service Points'!C71</f>
        <v>#REF!</v>
      </c>
      <c r="B71" s="340">
        <f>IF(ISERROR(VLOOKUP(A71,#REF!,1,FALSE)),0,1)</f>
        <v>0</v>
      </c>
      <c r="C71" s="248">
        <f t="shared" si="7"/>
        <v>41</v>
      </c>
      <c r="D71" s="250" t="str">
        <f t="shared" si="14"/>
        <v/>
      </c>
      <c r="E71" s="42" t="str">
        <f t="shared" si="15"/>
        <v/>
      </c>
      <c r="F71" s="42" t="str">
        <f t="shared" si="16"/>
        <v/>
      </c>
      <c r="G71" s="367" t="str">
        <f t="shared" si="17"/>
        <v/>
      </c>
      <c r="H71" s="42"/>
      <c r="I71" s="249" t="str">
        <f t="shared" si="18"/>
        <v/>
      </c>
      <c r="J71" s="103" t="str">
        <f t="shared" si="19"/>
        <v/>
      </c>
      <c r="K71" s="338" t="str">
        <f t="shared" si="6"/>
        <v/>
      </c>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row>
    <row r="72" spans="1:58" ht="15.75" customHeight="1" x14ac:dyDescent="0.3">
      <c r="A72" s="339" t="e">
        <f>Contacts!$L$11&amp;"_"&amp;'Service Points'!C72</f>
        <v>#REF!</v>
      </c>
      <c r="B72" s="340">
        <f>IF(ISERROR(VLOOKUP(A72,#REF!,1,FALSE)),0,1)</f>
        <v>0</v>
      </c>
      <c r="C72" s="248">
        <f t="shared" si="7"/>
        <v>42</v>
      </c>
      <c r="D72" s="250" t="str">
        <f t="shared" si="14"/>
        <v/>
      </c>
      <c r="E72" s="42" t="str">
        <f t="shared" si="15"/>
        <v/>
      </c>
      <c r="F72" s="42" t="str">
        <f t="shared" si="16"/>
        <v/>
      </c>
      <c r="G72" s="367" t="str">
        <f t="shared" si="17"/>
        <v/>
      </c>
      <c r="H72" s="42"/>
      <c r="I72" s="249" t="str">
        <f t="shared" si="18"/>
        <v/>
      </c>
      <c r="J72" s="103" t="str">
        <f t="shared" si="19"/>
        <v/>
      </c>
      <c r="K72" s="338" t="str">
        <f t="shared" si="6"/>
        <v/>
      </c>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row>
    <row r="73" spans="1:58" ht="15.75" customHeight="1" x14ac:dyDescent="0.3">
      <c r="A73" s="339" t="e">
        <f>Contacts!$L$11&amp;"_"&amp;'Service Points'!C73</f>
        <v>#REF!</v>
      </c>
      <c r="B73" s="340">
        <f>IF(ISERROR(VLOOKUP(A73,#REF!,1,FALSE)),0,1)</f>
        <v>0</v>
      </c>
      <c r="C73" s="248">
        <f t="shared" si="7"/>
        <v>43</v>
      </c>
      <c r="D73" s="250" t="str">
        <f t="shared" si="14"/>
        <v/>
      </c>
      <c r="E73" s="42" t="str">
        <f t="shared" si="15"/>
        <v/>
      </c>
      <c r="F73" s="42" t="str">
        <f t="shared" si="16"/>
        <v/>
      </c>
      <c r="G73" s="367" t="str">
        <f t="shared" si="17"/>
        <v/>
      </c>
      <c r="H73" s="42"/>
      <c r="I73" s="249" t="str">
        <f t="shared" si="18"/>
        <v/>
      </c>
      <c r="J73" s="103" t="str">
        <f t="shared" si="19"/>
        <v/>
      </c>
      <c r="K73" s="338" t="str">
        <f t="shared" si="6"/>
        <v/>
      </c>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row>
    <row r="74" spans="1:58" ht="15.75" customHeight="1" x14ac:dyDescent="0.3">
      <c r="A74" s="339" t="e">
        <f>Contacts!$L$11&amp;"_"&amp;'Service Points'!C74</f>
        <v>#REF!</v>
      </c>
      <c r="B74" s="340">
        <f>IF(ISERROR(VLOOKUP(A74,#REF!,1,FALSE)),0,1)</f>
        <v>0</v>
      </c>
      <c r="C74" s="248">
        <f t="shared" si="7"/>
        <v>44</v>
      </c>
      <c r="D74" s="250" t="str">
        <f t="shared" si="14"/>
        <v/>
      </c>
      <c r="E74" s="42" t="str">
        <f t="shared" si="15"/>
        <v/>
      </c>
      <c r="F74" s="42" t="str">
        <f t="shared" si="16"/>
        <v/>
      </c>
      <c r="G74" s="367" t="str">
        <f t="shared" si="17"/>
        <v/>
      </c>
      <c r="H74" s="42"/>
      <c r="I74" s="249" t="str">
        <f t="shared" si="18"/>
        <v/>
      </c>
      <c r="J74" s="103" t="str">
        <f t="shared" si="19"/>
        <v/>
      </c>
      <c r="K74" s="338" t="str">
        <f t="shared" si="6"/>
        <v/>
      </c>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row>
    <row r="75" spans="1:58" ht="15.75" customHeight="1" x14ac:dyDescent="0.3">
      <c r="A75" s="339" t="e">
        <f>Contacts!$L$11&amp;"_"&amp;'Service Points'!C75</f>
        <v>#REF!</v>
      </c>
      <c r="B75" s="340">
        <f>IF(ISERROR(VLOOKUP(A75,#REF!,1,FALSE)),0,1)</f>
        <v>0</v>
      </c>
      <c r="C75" s="248">
        <f t="shared" si="7"/>
        <v>45</v>
      </c>
      <c r="D75" s="250" t="str">
        <f t="shared" si="14"/>
        <v/>
      </c>
      <c r="E75" s="42" t="str">
        <f t="shared" si="15"/>
        <v/>
      </c>
      <c r="F75" s="42" t="str">
        <f t="shared" si="16"/>
        <v/>
      </c>
      <c r="G75" s="367" t="str">
        <f t="shared" si="17"/>
        <v/>
      </c>
      <c r="H75" s="42"/>
      <c r="I75" s="249" t="str">
        <f t="shared" si="18"/>
        <v/>
      </c>
      <c r="J75" s="103" t="str">
        <f t="shared" si="19"/>
        <v/>
      </c>
      <c r="K75" s="338" t="str">
        <f t="shared" si="6"/>
        <v/>
      </c>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row>
    <row r="76" spans="1:58" ht="15.75" customHeight="1" x14ac:dyDescent="0.3">
      <c r="A76" s="339" t="e">
        <f>Contacts!$L$11&amp;"_"&amp;'Service Points'!C76</f>
        <v>#REF!</v>
      </c>
      <c r="B76" s="340">
        <f>IF(ISERROR(VLOOKUP(A76,#REF!,1,FALSE)),0,1)</f>
        <v>0</v>
      </c>
      <c r="C76" s="248">
        <f t="shared" si="7"/>
        <v>46</v>
      </c>
      <c r="D76" s="250" t="str">
        <f t="shared" si="14"/>
        <v/>
      </c>
      <c r="E76" s="42" t="str">
        <f t="shared" si="15"/>
        <v/>
      </c>
      <c r="F76" s="42" t="str">
        <f t="shared" si="16"/>
        <v/>
      </c>
      <c r="G76" s="367" t="str">
        <f t="shared" si="17"/>
        <v/>
      </c>
      <c r="H76" s="42"/>
      <c r="I76" s="249" t="str">
        <f t="shared" si="18"/>
        <v/>
      </c>
      <c r="J76" s="103" t="str">
        <f t="shared" si="19"/>
        <v/>
      </c>
      <c r="K76" s="338" t="str">
        <f t="shared" si="6"/>
        <v/>
      </c>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row>
    <row r="77" spans="1:58" ht="15.75" customHeight="1" x14ac:dyDescent="0.3">
      <c r="A77" s="339" t="e">
        <f>Contacts!$L$11&amp;"_"&amp;'Service Points'!C77</f>
        <v>#REF!</v>
      </c>
      <c r="B77" s="340">
        <f>IF(ISERROR(VLOOKUP(A77,#REF!,1,FALSE)),0,1)</f>
        <v>0</v>
      </c>
      <c r="C77" s="248">
        <f t="shared" si="7"/>
        <v>47</v>
      </c>
      <c r="D77" s="250" t="str">
        <f t="shared" si="14"/>
        <v/>
      </c>
      <c r="E77" s="42" t="str">
        <f t="shared" si="15"/>
        <v/>
      </c>
      <c r="F77" s="42" t="str">
        <f t="shared" si="16"/>
        <v/>
      </c>
      <c r="G77" s="367" t="str">
        <f t="shared" si="17"/>
        <v/>
      </c>
      <c r="H77" s="42"/>
      <c r="I77" s="249" t="str">
        <f t="shared" si="18"/>
        <v/>
      </c>
      <c r="J77" s="103" t="str">
        <f t="shared" si="19"/>
        <v/>
      </c>
      <c r="K77" s="338" t="str">
        <f t="shared" si="6"/>
        <v/>
      </c>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row>
    <row r="78" spans="1:58" ht="15.75" customHeight="1" x14ac:dyDescent="0.3">
      <c r="A78" s="339" t="e">
        <f>Contacts!$L$11&amp;"_"&amp;'Service Points'!C78</f>
        <v>#REF!</v>
      </c>
      <c r="B78" s="340">
        <f>IF(ISERROR(VLOOKUP(A78,#REF!,1,FALSE)),0,1)</f>
        <v>0</v>
      </c>
      <c r="C78" s="248">
        <f t="shared" si="7"/>
        <v>48</v>
      </c>
      <c r="D78" s="250" t="str">
        <f t="shared" si="14"/>
        <v/>
      </c>
      <c r="E78" s="42" t="str">
        <f t="shared" si="15"/>
        <v/>
      </c>
      <c r="F78" s="42" t="str">
        <f t="shared" si="16"/>
        <v/>
      </c>
      <c r="G78" s="367" t="str">
        <f t="shared" si="17"/>
        <v/>
      </c>
      <c r="H78" s="42"/>
      <c r="I78" s="249" t="str">
        <f t="shared" si="18"/>
        <v/>
      </c>
      <c r="J78" s="103" t="str">
        <f t="shared" si="19"/>
        <v/>
      </c>
      <c r="K78" s="338" t="str">
        <f t="shared" si="6"/>
        <v/>
      </c>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row>
    <row r="79" spans="1:58" ht="15.75" customHeight="1" x14ac:dyDescent="0.3">
      <c r="A79" s="339" t="e">
        <f>Contacts!$L$11&amp;"_"&amp;'Service Points'!C79</f>
        <v>#REF!</v>
      </c>
      <c r="B79" s="340">
        <f>IF(ISERROR(VLOOKUP(A79,#REF!,1,FALSE)),0,1)</f>
        <v>0</v>
      </c>
      <c r="C79" s="248">
        <f t="shared" si="7"/>
        <v>49</v>
      </c>
      <c r="D79" s="250" t="str">
        <f t="shared" si="14"/>
        <v/>
      </c>
      <c r="E79" s="42" t="str">
        <f t="shared" si="15"/>
        <v/>
      </c>
      <c r="F79" s="42" t="str">
        <f t="shared" si="16"/>
        <v/>
      </c>
      <c r="G79" s="367" t="str">
        <f t="shared" si="17"/>
        <v/>
      </c>
      <c r="H79" s="42"/>
      <c r="I79" s="249" t="str">
        <f t="shared" si="18"/>
        <v/>
      </c>
      <c r="J79" s="103" t="str">
        <f t="shared" si="19"/>
        <v/>
      </c>
      <c r="K79" s="338" t="str">
        <f t="shared" si="6"/>
        <v/>
      </c>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row>
    <row r="80" spans="1:58" ht="15.75" customHeight="1" x14ac:dyDescent="0.3">
      <c r="A80" s="339" t="e">
        <f>Contacts!$L$11&amp;"_"&amp;'Service Points'!C80</f>
        <v>#REF!</v>
      </c>
      <c r="B80" s="340">
        <f>IF(ISERROR(VLOOKUP(A80,#REF!,1,FALSE)),0,1)</f>
        <v>0</v>
      </c>
      <c r="C80" s="248">
        <f t="shared" si="7"/>
        <v>50</v>
      </c>
      <c r="D80" s="250" t="str">
        <f t="shared" si="14"/>
        <v/>
      </c>
      <c r="E80" s="42" t="str">
        <f t="shared" si="15"/>
        <v/>
      </c>
      <c r="F80" s="42" t="str">
        <f t="shared" si="16"/>
        <v/>
      </c>
      <c r="G80" s="367" t="str">
        <f t="shared" si="17"/>
        <v/>
      </c>
      <c r="H80" s="42"/>
      <c r="I80" s="249" t="str">
        <f t="shared" si="18"/>
        <v/>
      </c>
      <c r="J80" s="103" t="str">
        <f t="shared" si="19"/>
        <v/>
      </c>
      <c r="K80" s="338" t="str">
        <f t="shared" si="6"/>
        <v/>
      </c>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row>
    <row r="81" spans="1:58" ht="15.75" customHeight="1" x14ac:dyDescent="0.3">
      <c r="A81" s="339" t="e">
        <f>Contacts!$L$11&amp;"_"&amp;'Service Points'!C81</f>
        <v>#REF!</v>
      </c>
      <c r="B81" s="340">
        <f>IF(ISERROR(VLOOKUP(A81,#REF!,1,FALSE)),0,1)</f>
        <v>0</v>
      </c>
      <c r="C81" s="248">
        <f t="shared" si="7"/>
        <v>51</v>
      </c>
      <c r="D81" s="250" t="str">
        <f t="shared" si="14"/>
        <v/>
      </c>
      <c r="E81" s="42" t="str">
        <f t="shared" si="15"/>
        <v/>
      </c>
      <c r="F81" s="42" t="str">
        <f t="shared" si="16"/>
        <v/>
      </c>
      <c r="G81" s="367" t="str">
        <f t="shared" si="17"/>
        <v/>
      </c>
      <c r="H81" s="42"/>
      <c r="I81" s="249" t="str">
        <f t="shared" si="18"/>
        <v/>
      </c>
      <c r="J81" s="103" t="str">
        <f t="shared" si="19"/>
        <v/>
      </c>
      <c r="K81" s="338" t="str">
        <f t="shared" si="6"/>
        <v/>
      </c>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row>
    <row r="82" spans="1:58" ht="15.75" customHeight="1" x14ac:dyDescent="0.3">
      <c r="A82" s="339" t="e">
        <f>Contacts!$L$11&amp;"_"&amp;'Service Points'!C82</f>
        <v>#REF!</v>
      </c>
      <c r="B82" s="340">
        <f>IF(ISERROR(VLOOKUP(A82,#REF!,1,FALSE)),0,1)</f>
        <v>0</v>
      </c>
      <c r="C82" s="248">
        <f t="shared" si="7"/>
        <v>52</v>
      </c>
      <c r="D82" s="250" t="str">
        <f t="shared" si="14"/>
        <v/>
      </c>
      <c r="E82" s="42" t="str">
        <f t="shared" si="15"/>
        <v/>
      </c>
      <c r="F82" s="42" t="str">
        <f t="shared" si="16"/>
        <v/>
      </c>
      <c r="G82" s="367" t="str">
        <f t="shared" si="17"/>
        <v/>
      </c>
      <c r="H82" s="42"/>
      <c r="I82" s="249" t="str">
        <f t="shared" si="18"/>
        <v/>
      </c>
      <c r="J82" s="103" t="str">
        <f t="shared" si="19"/>
        <v/>
      </c>
      <c r="K82" s="338" t="str">
        <f t="shared" si="6"/>
        <v/>
      </c>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row>
    <row r="83" spans="1:58" ht="15.75" customHeight="1" x14ac:dyDescent="0.3">
      <c r="A83" s="339" t="e">
        <f>Contacts!$L$11&amp;"_"&amp;'Service Points'!C83</f>
        <v>#REF!</v>
      </c>
      <c r="B83" s="340">
        <f>IF(ISERROR(VLOOKUP(A83,#REF!,1,FALSE)),0,1)</f>
        <v>0</v>
      </c>
      <c r="C83" s="248">
        <f t="shared" si="7"/>
        <v>53</v>
      </c>
      <c r="D83" s="250" t="str">
        <f t="shared" si="14"/>
        <v/>
      </c>
      <c r="E83" s="42" t="str">
        <f t="shared" si="15"/>
        <v/>
      </c>
      <c r="F83" s="42" t="str">
        <f t="shared" si="16"/>
        <v/>
      </c>
      <c r="G83" s="367" t="str">
        <f t="shared" si="17"/>
        <v/>
      </c>
      <c r="H83" s="42"/>
      <c r="I83" s="249" t="str">
        <f t="shared" si="18"/>
        <v/>
      </c>
      <c r="J83" s="103" t="str">
        <f t="shared" si="19"/>
        <v/>
      </c>
      <c r="K83" s="338" t="str">
        <f t="shared" si="6"/>
        <v/>
      </c>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row>
    <row r="84" spans="1:58" ht="15.75" customHeight="1" x14ac:dyDescent="0.3">
      <c r="A84" s="339" t="e">
        <f>Contacts!$L$11&amp;"_"&amp;'Service Points'!C84</f>
        <v>#REF!</v>
      </c>
      <c r="B84" s="340">
        <f>IF(ISERROR(VLOOKUP(A84,#REF!,1,FALSE)),0,1)</f>
        <v>0</v>
      </c>
      <c r="C84" s="248">
        <f t="shared" si="7"/>
        <v>54</v>
      </c>
      <c r="D84" s="250" t="str">
        <f t="shared" si="14"/>
        <v/>
      </c>
      <c r="E84" s="42" t="str">
        <f t="shared" si="15"/>
        <v/>
      </c>
      <c r="F84" s="42" t="str">
        <f t="shared" si="16"/>
        <v/>
      </c>
      <c r="G84" s="367" t="str">
        <f t="shared" si="17"/>
        <v/>
      </c>
      <c r="H84" s="42"/>
      <c r="I84" s="249" t="str">
        <f t="shared" si="18"/>
        <v/>
      </c>
      <c r="J84" s="103" t="str">
        <f t="shared" si="19"/>
        <v/>
      </c>
      <c r="K84" s="338" t="str">
        <f t="shared" si="6"/>
        <v/>
      </c>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row>
    <row r="85" spans="1:58" ht="15.75" customHeight="1" x14ac:dyDescent="0.3">
      <c r="A85" s="339" t="e">
        <f>Contacts!$L$11&amp;"_"&amp;'Service Points'!C85</f>
        <v>#REF!</v>
      </c>
      <c r="B85" s="340">
        <f>IF(ISERROR(VLOOKUP(A85,#REF!,1,FALSE)),0,1)</f>
        <v>0</v>
      </c>
      <c r="C85" s="248">
        <f t="shared" si="7"/>
        <v>55</v>
      </c>
      <c r="D85" s="250" t="str">
        <f t="shared" si="14"/>
        <v/>
      </c>
      <c r="E85" s="42" t="str">
        <f t="shared" si="15"/>
        <v/>
      </c>
      <c r="F85" s="42" t="str">
        <f t="shared" si="16"/>
        <v/>
      </c>
      <c r="G85" s="367" t="str">
        <f t="shared" si="17"/>
        <v/>
      </c>
      <c r="H85" s="42"/>
      <c r="I85" s="249" t="str">
        <f t="shared" si="18"/>
        <v/>
      </c>
      <c r="J85" s="103" t="str">
        <f t="shared" si="19"/>
        <v/>
      </c>
      <c r="K85" s="338" t="str">
        <f t="shared" si="6"/>
        <v/>
      </c>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row>
    <row r="86" spans="1:58" ht="15.75" customHeight="1" x14ac:dyDescent="0.3">
      <c r="A86" s="339" t="e">
        <f>Contacts!$L$11&amp;"_"&amp;'Service Points'!C86</f>
        <v>#REF!</v>
      </c>
      <c r="B86" s="340">
        <f>IF(ISERROR(VLOOKUP(A86,#REF!,1,FALSE)),0,1)</f>
        <v>0</v>
      </c>
      <c r="C86" s="248">
        <f t="shared" si="7"/>
        <v>56</v>
      </c>
      <c r="D86" s="250" t="str">
        <f t="shared" si="14"/>
        <v/>
      </c>
      <c r="E86" s="42" t="str">
        <f t="shared" si="15"/>
        <v/>
      </c>
      <c r="F86" s="42" t="str">
        <f t="shared" si="16"/>
        <v/>
      </c>
      <c r="G86" s="367" t="str">
        <f t="shared" si="17"/>
        <v/>
      </c>
      <c r="H86" s="42"/>
      <c r="I86" s="249" t="str">
        <f t="shared" si="18"/>
        <v/>
      </c>
      <c r="J86" s="103" t="str">
        <f t="shared" si="19"/>
        <v/>
      </c>
      <c r="K86" s="338" t="str">
        <f t="shared" si="6"/>
        <v/>
      </c>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row>
    <row r="87" spans="1:58" ht="15.75" customHeight="1" x14ac:dyDescent="0.3">
      <c r="A87" s="339" t="e">
        <f>Contacts!$L$11&amp;"_"&amp;'Service Points'!C87</f>
        <v>#REF!</v>
      </c>
      <c r="B87" s="340">
        <f>IF(ISERROR(VLOOKUP(A87,#REF!,1,FALSE)),0,1)</f>
        <v>0</v>
      </c>
      <c r="C87" s="248">
        <f t="shared" si="7"/>
        <v>57</v>
      </c>
      <c r="D87" s="250" t="str">
        <f t="shared" si="14"/>
        <v/>
      </c>
      <c r="E87" s="42" t="str">
        <f t="shared" si="15"/>
        <v/>
      </c>
      <c r="F87" s="42" t="str">
        <f t="shared" si="16"/>
        <v/>
      </c>
      <c r="G87" s="367" t="str">
        <f t="shared" si="17"/>
        <v/>
      </c>
      <c r="H87" s="42"/>
      <c r="I87" s="249" t="str">
        <f t="shared" si="18"/>
        <v/>
      </c>
      <c r="J87" s="103" t="str">
        <f t="shared" si="19"/>
        <v/>
      </c>
      <c r="K87" s="338" t="str">
        <f t="shared" si="6"/>
        <v/>
      </c>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row>
    <row r="88" spans="1:58" ht="15.75" customHeight="1" x14ac:dyDescent="0.3">
      <c r="A88" s="339" t="e">
        <f>Contacts!$L$11&amp;"_"&amp;'Service Points'!C88</f>
        <v>#REF!</v>
      </c>
      <c r="B88" s="340">
        <f>IF(ISERROR(VLOOKUP(A88,#REF!,1,FALSE)),0,1)</f>
        <v>0</v>
      </c>
      <c r="C88" s="248">
        <f t="shared" si="7"/>
        <v>58</v>
      </c>
      <c r="D88" s="250" t="str">
        <f t="shared" si="14"/>
        <v/>
      </c>
      <c r="E88" s="42" t="str">
        <f t="shared" si="15"/>
        <v/>
      </c>
      <c r="F88" s="42" t="str">
        <f t="shared" si="16"/>
        <v/>
      </c>
      <c r="G88" s="367" t="str">
        <f t="shared" si="17"/>
        <v/>
      </c>
      <c r="H88" s="42"/>
      <c r="I88" s="249" t="str">
        <f t="shared" si="18"/>
        <v/>
      </c>
      <c r="J88" s="103" t="str">
        <f t="shared" si="19"/>
        <v/>
      </c>
      <c r="K88" s="338" t="str">
        <f t="shared" si="6"/>
        <v/>
      </c>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row>
    <row r="89" spans="1:58" ht="15.75" customHeight="1" x14ac:dyDescent="0.3">
      <c r="A89" s="339" t="e">
        <f>Contacts!$L$11&amp;"_"&amp;'Service Points'!C89</f>
        <v>#REF!</v>
      </c>
      <c r="B89" s="340">
        <f>IF(ISERROR(VLOOKUP(A89,#REF!,1,FALSE)),0,1)</f>
        <v>0</v>
      </c>
      <c r="C89" s="248">
        <f t="shared" si="7"/>
        <v>59</v>
      </c>
      <c r="D89" s="250" t="str">
        <f t="shared" si="14"/>
        <v/>
      </c>
      <c r="E89" s="42" t="str">
        <f t="shared" si="15"/>
        <v/>
      </c>
      <c r="F89" s="42" t="str">
        <f t="shared" si="16"/>
        <v/>
      </c>
      <c r="G89" s="367" t="str">
        <f t="shared" si="17"/>
        <v/>
      </c>
      <c r="H89" s="42"/>
      <c r="I89" s="249" t="str">
        <f t="shared" si="18"/>
        <v/>
      </c>
      <c r="J89" s="103" t="str">
        <f t="shared" si="19"/>
        <v/>
      </c>
      <c r="K89" s="338" t="str">
        <f t="shared" si="6"/>
        <v/>
      </c>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row>
    <row r="90" spans="1:58" ht="15.75" customHeight="1" x14ac:dyDescent="0.3">
      <c r="A90" s="339" t="e">
        <f>Contacts!$L$11&amp;"_"&amp;'Service Points'!C90</f>
        <v>#REF!</v>
      </c>
      <c r="B90" s="340">
        <f>IF(ISERROR(VLOOKUP(A90,#REF!,1,FALSE)),0,1)</f>
        <v>0</v>
      </c>
      <c r="C90" s="248">
        <f t="shared" si="7"/>
        <v>60</v>
      </c>
      <c r="D90" s="250" t="str">
        <f t="shared" si="14"/>
        <v/>
      </c>
      <c r="E90" s="42" t="str">
        <f t="shared" si="15"/>
        <v/>
      </c>
      <c r="F90" s="42" t="str">
        <f t="shared" si="16"/>
        <v/>
      </c>
      <c r="G90" s="367" t="str">
        <f t="shared" si="17"/>
        <v/>
      </c>
      <c r="H90" s="42"/>
      <c r="I90" s="249" t="str">
        <f t="shared" si="18"/>
        <v/>
      </c>
      <c r="J90" s="103" t="str">
        <f t="shared" si="19"/>
        <v/>
      </c>
      <c r="K90" s="338" t="str">
        <f t="shared" si="6"/>
        <v/>
      </c>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row>
    <row r="91" spans="1:58" ht="15.75" customHeight="1" x14ac:dyDescent="0.3">
      <c r="A91" s="339" t="e">
        <f>Contacts!$L$11&amp;"_"&amp;'Service Points'!C91</f>
        <v>#REF!</v>
      </c>
      <c r="B91" s="340">
        <f>IF(ISERROR(VLOOKUP(A91,#REF!,1,FALSE)),0,1)</f>
        <v>0</v>
      </c>
      <c r="C91" s="248">
        <f t="shared" si="7"/>
        <v>61</v>
      </c>
      <c r="D91" s="250" t="str">
        <f t="shared" si="14"/>
        <v/>
      </c>
      <c r="E91" s="42" t="str">
        <f t="shared" si="15"/>
        <v/>
      </c>
      <c r="F91" s="42" t="str">
        <f t="shared" si="16"/>
        <v/>
      </c>
      <c r="G91" s="367" t="str">
        <f t="shared" si="17"/>
        <v/>
      </c>
      <c r="H91" s="42"/>
      <c r="I91" s="249" t="str">
        <f t="shared" si="18"/>
        <v/>
      </c>
      <c r="J91" s="103" t="str">
        <f t="shared" si="19"/>
        <v/>
      </c>
      <c r="K91" s="338" t="str">
        <f t="shared" si="6"/>
        <v/>
      </c>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row>
    <row r="92" spans="1:58" ht="15.75" customHeight="1" x14ac:dyDescent="0.3">
      <c r="A92" s="339" t="e">
        <f>Contacts!$L$11&amp;"_"&amp;'Service Points'!C92</f>
        <v>#REF!</v>
      </c>
      <c r="B92" s="340">
        <f>IF(ISERROR(VLOOKUP(A92,#REF!,1,FALSE)),0,1)</f>
        <v>0</v>
      </c>
      <c r="C92" s="248">
        <f t="shared" si="7"/>
        <v>62</v>
      </c>
      <c r="D92" s="250" t="str">
        <f t="shared" si="14"/>
        <v/>
      </c>
      <c r="E92" s="42" t="str">
        <f t="shared" si="15"/>
        <v/>
      </c>
      <c r="F92" s="42" t="str">
        <f t="shared" si="16"/>
        <v/>
      </c>
      <c r="G92" s="367" t="str">
        <f t="shared" si="17"/>
        <v/>
      </c>
      <c r="H92" s="42"/>
      <c r="I92" s="249" t="str">
        <f t="shared" si="18"/>
        <v/>
      </c>
      <c r="J92" s="103" t="str">
        <f t="shared" si="19"/>
        <v/>
      </c>
      <c r="K92" s="338" t="str">
        <f t="shared" si="6"/>
        <v/>
      </c>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row>
    <row r="93" spans="1:58" ht="15.75" customHeight="1" x14ac:dyDescent="0.3">
      <c r="A93" s="339" t="e">
        <f>Contacts!$L$11&amp;"_"&amp;'Service Points'!C93</f>
        <v>#REF!</v>
      </c>
      <c r="B93" s="340">
        <f>IF(ISERROR(VLOOKUP(A93,#REF!,1,FALSE)),0,1)</f>
        <v>0</v>
      </c>
      <c r="C93" s="248">
        <f t="shared" si="7"/>
        <v>63</v>
      </c>
      <c r="D93" s="250" t="str">
        <f t="shared" si="14"/>
        <v/>
      </c>
      <c r="E93" s="42" t="str">
        <f t="shared" si="15"/>
        <v/>
      </c>
      <c r="F93" s="42" t="str">
        <f t="shared" si="16"/>
        <v/>
      </c>
      <c r="G93" s="367" t="str">
        <f t="shared" si="17"/>
        <v/>
      </c>
      <c r="H93" s="42"/>
      <c r="I93" s="249" t="str">
        <f t="shared" si="18"/>
        <v/>
      </c>
      <c r="J93" s="103" t="str">
        <f t="shared" si="19"/>
        <v/>
      </c>
      <c r="K93" s="338" t="str">
        <f t="shared" si="6"/>
        <v/>
      </c>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row>
    <row r="94" spans="1:58" ht="15.75" customHeight="1" x14ac:dyDescent="0.3">
      <c r="A94" s="339" t="e">
        <f>Contacts!$L$11&amp;"_"&amp;'Service Points'!C94</f>
        <v>#REF!</v>
      </c>
      <c r="B94" s="340">
        <f>IF(ISERROR(VLOOKUP(A94,#REF!,1,FALSE)),0,1)</f>
        <v>0</v>
      </c>
      <c r="C94" s="248">
        <f t="shared" si="7"/>
        <v>64</v>
      </c>
      <c r="D94" s="250" t="str">
        <f t="shared" si="14"/>
        <v/>
      </c>
      <c r="E94" s="42" t="str">
        <f t="shared" si="15"/>
        <v/>
      </c>
      <c r="F94" s="42" t="str">
        <f t="shared" si="16"/>
        <v/>
      </c>
      <c r="G94" s="367" t="str">
        <f t="shared" si="17"/>
        <v/>
      </c>
      <c r="H94" s="42"/>
      <c r="I94" s="249" t="str">
        <f t="shared" si="18"/>
        <v/>
      </c>
      <c r="J94" s="103" t="str">
        <f t="shared" si="19"/>
        <v/>
      </c>
      <c r="K94" s="338" t="str">
        <f t="shared" si="6"/>
        <v/>
      </c>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row>
    <row r="95" spans="1:58" ht="15.75" customHeight="1" x14ac:dyDescent="0.3">
      <c r="A95" s="339" t="e">
        <f>Contacts!$L$11&amp;"_"&amp;'Service Points'!C95</f>
        <v>#REF!</v>
      </c>
      <c r="B95" s="340">
        <f>IF(ISERROR(VLOOKUP(A95,#REF!,1,FALSE)),0,1)</f>
        <v>0</v>
      </c>
      <c r="C95" s="248">
        <f t="shared" si="7"/>
        <v>65</v>
      </c>
      <c r="D95" s="250" t="str">
        <f t="shared" ref="D95:D126" si="20">IF($B95=1,VLOOKUP($A95,LY_ServicePoints,2,FALSE),"")</f>
        <v/>
      </c>
      <c r="E95" s="42" t="str">
        <f t="shared" ref="E95:E126" si="21">IF($B95=1,VLOOKUP($A95,LY_ServicePoints,3,FALSE),"")</f>
        <v/>
      </c>
      <c r="F95" s="42" t="str">
        <f t="shared" ref="F95:F126" si="22">IF($B95=1,VLOOKUP($A95,LY_ServicePoints,4,FALSE),"")</f>
        <v/>
      </c>
      <c r="G95" s="367" t="str">
        <f t="shared" ref="G95:G126" si="23">IF($B95=1,VLOOKUP($A95,LY_ServicePoints,5,FALSE),"")</f>
        <v/>
      </c>
      <c r="H95" s="42"/>
      <c r="I95" s="249" t="str">
        <f t="shared" ref="I95:I126" si="24">IF($B95=1,VLOOKUP($A95,LY_ServicePoints,6,FALSE),"")</f>
        <v/>
      </c>
      <c r="J95" s="103" t="str">
        <f t="shared" ref="J95:J126" si="25">IF($B95=1,VLOOKUP($A95,LY_ServicePoints,7,FALSE),"")</f>
        <v/>
      </c>
      <c r="K95" s="338" t="str">
        <f t="shared" si="6"/>
        <v/>
      </c>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row>
    <row r="96" spans="1:58" ht="15.75" customHeight="1" x14ac:dyDescent="0.3">
      <c r="A96" s="339" t="e">
        <f>Contacts!$L$11&amp;"_"&amp;'Service Points'!C96</f>
        <v>#REF!</v>
      </c>
      <c r="B96" s="340">
        <f>IF(ISERROR(VLOOKUP(A96,#REF!,1,FALSE)),0,1)</f>
        <v>0</v>
      </c>
      <c r="C96" s="248">
        <f t="shared" si="7"/>
        <v>66</v>
      </c>
      <c r="D96" s="250" t="str">
        <f t="shared" si="20"/>
        <v/>
      </c>
      <c r="E96" s="42" t="str">
        <f t="shared" si="21"/>
        <v/>
      </c>
      <c r="F96" s="42" t="str">
        <f t="shared" si="22"/>
        <v/>
      </c>
      <c r="G96" s="367" t="str">
        <f t="shared" si="23"/>
        <v/>
      </c>
      <c r="H96" s="42"/>
      <c r="I96" s="249" t="str">
        <f t="shared" si="24"/>
        <v/>
      </c>
      <c r="J96" s="103" t="str">
        <f t="shared" si="25"/>
        <v/>
      </c>
      <c r="K96" s="338" t="str">
        <f t="shared" ref="K96:K159" si="26">IF(AND(ISTEXT(F96),ISTEXT(G96)),LEFT(E96,1),"")</f>
        <v/>
      </c>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row>
    <row r="97" spans="1:58" ht="15.75" customHeight="1" x14ac:dyDescent="0.3">
      <c r="A97" s="339" t="e">
        <f>Contacts!$L$11&amp;"_"&amp;'Service Points'!C97</f>
        <v>#REF!</v>
      </c>
      <c r="B97" s="340">
        <f>IF(ISERROR(VLOOKUP(A97,#REF!,1,FALSE)),0,1)</f>
        <v>0</v>
      </c>
      <c r="C97" s="248">
        <f t="shared" ref="C97:C160" si="27">C96+1</f>
        <v>67</v>
      </c>
      <c r="D97" s="250" t="str">
        <f t="shared" si="20"/>
        <v/>
      </c>
      <c r="E97" s="42" t="str">
        <f t="shared" si="21"/>
        <v/>
      </c>
      <c r="F97" s="42" t="str">
        <f t="shared" si="22"/>
        <v/>
      </c>
      <c r="G97" s="367" t="str">
        <f t="shared" si="23"/>
        <v/>
      </c>
      <c r="H97" s="42"/>
      <c r="I97" s="249" t="str">
        <f t="shared" si="24"/>
        <v/>
      </c>
      <c r="J97" s="103" t="str">
        <f t="shared" si="25"/>
        <v/>
      </c>
      <c r="K97" s="338" t="str">
        <f t="shared" si="26"/>
        <v/>
      </c>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row>
    <row r="98" spans="1:58" ht="15.75" customHeight="1" x14ac:dyDescent="0.3">
      <c r="A98" s="339" t="e">
        <f>Contacts!$L$11&amp;"_"&amp;'Service Points'!C98</f>
        <v>#REF!</v>
      </c>
      <c r="B98" s="340">
        <f>IF(ISERROR(VLOOKUP(A98,#REF!,1,FALSE)),0,1)</f>
        <v>0</v>
      </c>
      <c r="C98" s="248">
        <f t="shared" si="27"/>
        <v>68</v>
      </c>
      <c r="D98" s="250" t="str">
        <f t="shared" si="20"/>
        <v/>
      </c>
      <c r="E98" s="42" t="str">
        <f t="shared" si="21"/>
        <v/>
      </c>
      <c r="F98" s="42" t="str">
        <f t="shared" si="22"/>
        <v/>
      </c>
      <c r="G98" s="367" t="str">
        <f t="shared" si="23"/>
        <v/>
      </c>
      <c r="H98" s="42"/>
      <c r="I98" s="249" t="str">
        <f t="shared" si="24"/>
        <v/>
      </c>
      <c r="J98" s="103" t="str">
        <f t="shared" si="25"/>
        <v/>
      </c>
      <c r="K98" s="338" t="str">
        <f t="shared" si="26"/>
        <v/>
      </c>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row>
    <row r="99" spans="1:58" ht="15.75" customHeight="1" x14ac:dyDescent="0.3">
      <c r="A99" s="339" t="e">
        <f>Contacts!$L$11&amp;"_"&amp;'Service Points'!C99</f>
        <v>#REF!</v>
      </c>
      <c r="B99" s="340">
        <f>IF(ISERROR(VLOOKUP(A99,#REF!,1,FALSE)),0,1)</f>
        <v>0</v>
      </c>
      <c r="C99" s="248">
        <f t="shared" si="27"/>
        <v>69</v>
      </c>
      <c r="D99" s="250" t="str">
        <f t="shared" si="20"/>
        <v/>
      </c>
      <c r="E99" s="42" t="str">
        <f t="shared" si="21"/>
        <v/>
      </c>
      <c r="F99" s="42" t="str">
        <f t="shared" si="22"/>
        <v/>
      </c>
      <c r="G99" s="367" t="str">
        <f t="shared" si="23"/>
        <v/>
      </c>
      <c r="H99" s="42"/>
      <c r="I99" s="249" t="str">
        <f t="shared" si="24"/>
        <v/>
      </c>
      <c r="J99" s="103" t="str">
        <f t="shared" si="25"/>
        <v/>
      </c>
      <c r="K99" s="338" t="str">
        <f t="shared" si="26"/>
        <v/>
      </c>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row>
    <row r="100" spans="1:58" ht="15.75" customHeight="1" x14ac:dyDescent="0.3">
      <c r="A100" s="339" t="e">
        <f>Contacts!$L$11&amp;"_"&amp;'Service Points'!C100</f>
        <v>#REF!</v>
      </c>
      <c r="B100" s="340">
        <f>IF(ISERROR(VLOOKUP(A100,#REF!,1,FALSE)),0,1)</f>
        <v>0</v>
      </c>
      <c r="C100" s="248">
        <f t="shared" si="27"/>
        <v>70</v>
      </c>
      <c r="D100" s="250" t="str">
        <f t="shared" si="20"/>
        <v/>
      </c>
      <c r="E100" s="42" t="str">
        <f t="shared" si="21"/>
        <v/>
      </c>
      <c r="F100" s="42" t="str">
        <f t="shared" si="22"/>
        <v/>
      </c>
      <c r="G100" s="367" t="str">
        <f t="shared" si="23"/>
        <v/>
      </c>
      <c r="H100" s="42"/>
      <c r="I100" s="249" t="str">
        <f t="shared" si="24"/>
        <v/>
      </c>
      <c r="J100" s="103" t="str">
        <f t="shared" si="25"/>
        <v/>
      </c>
      <c r="K100" s="338" t="str">
        <f t="shared" si="26"/>
        <v/>
      </c>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row>
    <row r="101" spans="1:58" ht="15.75" customHeight="1" x14ac:dyDescent="0.3">
      <c r="A101" s="339" t="e">
        <f>Contacts!$L$11&amp;"_"&amp;'Service Points'!C101</f>
        <v>#REF!</v>
      </c>
      <c r="B101" s="340">
        <f>IF(ISERROR(VLOOKUP(A101,#REF!,1,FALSE)),0,1)</f>
        <v>0</v>
      </c>
      <c r="C101" s="248">
        <f t="shared" si="27"/>
        <v>71</v>
      </c>
      <c r="D101" s="250" t="str">
        <f t="shared" si="20"/>
        <v/>
      </c>
      <c r="E101" s="42" t="str">
        <f t="shared" si="21"/>
        <v/>
      </c>
      <c r="F101" s="42" t="str">
        <f t="shared" si="22"/>
        <v/>
      </c>
      <c r="G101" s="367" t="str">
        <f t="shared" si="23"/>
        <v/>
      </c>
      <c r="H101" s="42"/>
      <c r="I101" s="249" t="str">
        <f t="shared" si="24"/>
        <v/>
      </c>
      <c r="J101" s="103" t="str">
        <f t="shared" si="25"/>
        <v/>
      </c>
      <c r="K101" s="338" t="str">
        <f t="shared" si="26"/>
        <v/>
      </c>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row>
    <row r="102" spans="1:58" ht="15.75" customHeight="1" x14ac:dyDescent="0.3">
      <c r="A102" s="339" t="e">
        <f>Contacts!$L$11&amp;"_"&amp;'Service Points'!C102</f>
        <v>#REF!</v>
      </c>
      <c r="B102" s="340">
        <f>IF(ISERROR(VLOOKUP(A102,#REF!,1,FALSE)),0,1)</f>
        <v>0</v>
      </c>
      <c r="C102" s="248">
        <f t="shared" si="27"/>
        <v>72</v>
      </c>
      <c r="D102" s="250" t="str">
        <f t="shared" si="20"/>
        <v/>
      </c>
      <c r="E102" s="42" t="str">
        <f t="shared" si="21"/>
        <v/>
      </c>
      <c r="F102" s="42" t="str">
        <f t="shared" si="22"/>
        <v/>
      </c>
      <c r="G102" s="367" t="str">
        <f t="shared" si="23"/>
        <v/>
      </c>
      <c r="H102" s="42"/>
      <c r="I102" s="249" t="str">
        <f t="shared" si="24"/>
        <v/>
      </c>
      <c r="J102" s="103" t="str">
        <f t="shared" si="25"/>
        <v/>
      </c>
      <c r="K102" s="338" t="str">
        <f t="shared" si="26"/>
        <v/>
      </c>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row>
    <row r="103" spans="1:58" ht="15.75" customHeight="1" x14ac:dyDescent="0.3">
      <c r="A103" s="339" t="e">
        <f>Contacts!$L$11&amp;"_"&amp;'Service Points'!C103</f>
        <v>#REF!</v>
      </c>
      <c r="B103" s="340">
        <f>IF(ISERROR(VLOOKUP(A103,#REF!,1,FALSE)),0,1)</f>
        <v>0</v>
      </c>
      <c r="C103" s="248">
        <f t="shared" si="27"/>
        <v>73</v>
      </c>
      <c r="D103" s="250" t="str">
        <f t="shared" si="20"/>
        <v/>
      </c>
      <c r="E103" s="42" t="str">
        <f t="shared" si="21"/>
        <v/>
      </c>
      <c r="F103" s="42" t="str">
        <f t="shared" si="22"/>
        <v/>
      </c>
      <c r="G103" s="367" t="str">
        <f t="shared" si="23"/>
        <v/>
      </c>
      <c r="H103" s="42"/>
      <c r="I103" s="249" t="str">
        <f t="shared" si="24"/>
        <v/>
      </c>
      <c r="J103" s="103" t="str">
        <f t="shared" si="25"/>
        <v/>
      </c>
      <c r="K103" s="338" t="str">
        <f t="shared" si="26"/>
        <v/>
      </c>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row>
    <row r="104" spans="1:58" ht="15.75" customHeight="1" x14ac:dyDescent="0.3">
      <c r="A104" s="339" t="e">
        <f>Contacts!$L$11&amp;"_"&amp;'Service Points'!C104</f>
        <v>#REF!</v>
      </c>
      <c r="B104" s="340">
        <f>IF(ISERROR(VLOOKUP(A104,#REF!,1,FALSE)),0,1)</f>
        <v>0</v>
      </c>
      <c r="C104" s="248">
        <f t="shared" si="27"/>
        <v>74</v>
      </c>
      <c r="D104" s="250" t="str">
        <f t="shared" si="20"/>
        <v/>
      </c>
      <c r="E104" s="42" t="str">
        <f t="shared" si="21"/>
        <v/>
      </c>
      <c r="F104" s="42" t="str">
        <f t="shared" si="22"/>
        <v/>
      </c>
      <c r="G104" s="367" t="str">
        <f t="shared" si="23"/>
        <v/>
      </c>
      <c r="H104" s="42"/>
      <c r="I104" s="249" t="str">
        <f t="shared" si="24"/>
        <v/>
      </c>
      <c r="J104" s="103" t="str">
        <f t="shared" si="25"/>
        <v/>
      </c>
      <c r="K104" s="338" t="str">
        <f t="shared" si="26"/>
        <v/>
      </c>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row>
    <row r="105" spans="1:58" ht="15.75" customHeight="1" x14ac:dyDescent="0.3">
      <c r="A105" s="339" t="e">
        <f>Contacts!$L$11&amp;"_"&amp;'Service Points'!C105</f>
        <v>#REF!</v>
      </c>
      <c r="B105" s="340">
        <f>IF(ISERROR(VLOOKUP(A105,#REF!,1,FALSE)),0,1)</f>
        <v>0</v>
      </c>
      <c r="C105" s="248">
        <f t="shared" si="27"/>
        <v>75</v>
      </c>
      <c r="D105" s="250" t="str">
        <f t="shared" si="20"/>
        <v/>
      </c>
      <c r="E105" s="42" t="str">
        <f t="shared" si="21"/>
        <v/>
      </c>
      <c r="F105" s="42" t="str">
        <f t="shared" si="22"/>
        <v/>
      </c>
      <c r="G105" s="367" t="str">
        <f t="shared" si="23"/>
        <v/>
      </c>
      <c r="H105" s="42"/>
      <c r="I105" s="249" t="str">
        <f t="shared" si="24"/>
        <v/>
      </c>
      <c r="J105" s="103" t="str">
        <f t="shared" si="25"/>
        <v/>
      </c>
      <c r="K105" s="338" t="str">
        <f t="shared" si="26"/>
        <v/>
      </c>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row>
    <row r="106" spans="1:58" ht="15.75" customHeight="1" x14ac:dyDescent="0.3">
      <c r="A106" s="339" t="e">
        <f>Contacts!$L$11&amp;"_"&amp;'Service Points'!C106</f>
        <v>#REF!</v>
      </c>
      <c r="B106" s="340">
        <f>IF(ISERROR(VLOOKUP(A106,#REF!,1,FALSE)),0,1)</f>
        <v>0</v>
      </c>
      <c r="C106" s="248">
        <f t="shared" si="27"/>
        <v>76</v>
      </c>
      <c r="D106" s="250" t="str">
        <f t="shared" si="20"/>
        <v/>
      </c>
      <c r="E106" s="42" t="str">
        <f t="shared" si="21"/>
        <v/>
      </c>
      <c r="F106" s="42" t="str">
        <f t="shared" si="22"/>
        <v/>
      </c>
      <c r="G106" s="367" t="str">
        <f t="shared" si="23"/>
        <v/>
      </c>
      <c r="H106" s="42"/>
      <c r="I106" s="249" t="str">
        <f t="shared" si="24"/>
        <v/>
      </c>
      <c r="J106" s="103" t="str">
        <f t="shared" si="25"/>
        <v/>
      </c>
      <c r="K106" s="338" t="str">
        <f t="shared" si="26"/>
        <v/>
      </c>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row>
    <row r="107" spans="1:58" ht="15.75" customHeight="1" x14ac:dyDescent="0.3">
      <c r="A107" s="339" t="e">
        <f>Contacts!$L$11&amp;"_"&amp;'Service Points'!C107</f>
        <v>#REF!</v>
      </c>
      <c r="B107" s="340">
        <f>IF(ISERROR(VLOOKUP(A107,#REF!,1,FALSE)),0,1)</f>
        <v>0</v>
      </c>
      <c r="C107" s="248">
        <f t="shared" si="27"/>
        <v>77</v>
      </c>
      <c r="D107" s="250" t="str">
        <f t="shared" si="20"/>
        <v/>
      </c>
      <c r="E107" s="42" t="str">
        <f t="shared" si="21"/>
        <v/>
      </c>
      <c r="F107" s="42" t="str">
        <f t="shared" si="22"/>
        <v/>
      </c>
      <c r="G107" s="367" t="str">
        <f t="shared" si="23"/>
        <v/>
      </c>
      <c r="H107" s="42"/>
      <c r="I107" s="249" t="str">
        <f t="shared" si="24"/>
        <v/>
      </c>
      <c r="J107" s="103" t="str">
        <f t="shared" si="25"/>
        <v/>
      </c>
      <c r="K107" s="338" t="str">
        <f t="shared" si="26"/>
        <v/>
      </c>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row>
    <row r="108" spans="1:58" ht="15.75" customHeight="1" x14ac:dyDescent="0.3">
      <c r="A108" s="339" t="e">
        <f>Contacts!$L$11&amp;"_"&amp;'Service Points'!C108</f>
        <v>#REF!</v>
      </c>
      <c r="B108" s="340">
        <f>IF(ISERROR(VLOOKUP(A108,#REF!,1,FALSE)),0,1)</f>
        <v>0</v>
      </c>
      <c r="C108" s="248">
        <f t="shared" si="27"/>
        <v>78</v>
      </c>
      <c r="D108" s="250" t="str">
        <f t="shared" si="20"/>
        <v/>
      </c>
      <c r="E108" s="42" t="str">
        <f t="shared" si="21"/>
        <v/>
      </c>
      <c r="F108" s="42" t="str">
        <f t="shared" si="22"/>
        <v/>
      </c>
      <c r="G108" s="367" t="str">
        <f t="shared" si="23"/>
        <v/>
      </c>
      <c r="H108" s="42"/>
      <c r="I108" s="249" t="str">
        <f t="shared" si="24"/>
        <v/>
      </c>
      <c r="J108" s="103" t="str">
        <f t="shared" si="25"/>
        <v/>
      </c>
      <c r="K108" s="338" t="str">
        <f t="shared" si="26"/>
        <v/>
      </c>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row>
    <row r="109" spans="1:58" ht="15.75" customHeight="1" x14ac:dyDescent="0.3">
      <c r="A109" s="339" t="e">
        <f>Contacts!$L$11&amp;"_"&amp;'Service Points'!C109</f>
        <v>#REF!</v>
      </c>
      <c r="B109" s="340">
        <f>IF(ISERROR(VLOOKUP(A109,#REF!,1,FALSE)),0,1)</f>
        <v>0</v>
      </c>
      <c r="C109" s="248">
        <f t="shared" si="27"/>
        <v>79</v>
      </c>
      <c r="D109" s="250" t="str">
        <f t="shared" si="20"/>
        <v/>
      </c>
      <c r="E109" s="42" t="str">
        <f t="shared" si="21"/>
        <v/>
      </c>
      <c r="F109" s="42" t="str">
        <f t="shared" si="22"/>
        <v/>
      </c>
      <c r="G109" s="367" t="str">
        <f t="shared" si="23"/>
        <v/>
      </c>
      <c r="H109" s="42"/>
      <c r="I109" s="249" t="str">
        <f t="shared" si="24"/>
        <v/>
      </c>
      <c r="J109" s="103" t="str">
        <f t="shared" si="25"/>
        <v/>
      </c>
      <c r="K109" s="338" t="str">
        <f t="shared" si="26"/>
        <v/>
      </c>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row>
    <row r="110" spans="1:58" ht="15.75" customHeight="1" x14ac:dyDescent="0.3">
      <c r="A110" s="339" t="e">
        <f>Contacts!$L$11&amp;"_"&amp;'Service Points'!C110</f>
        <v>#REF!</v>
      </c>
      <c r="B110" s="340">
        <f>IF(ISERROR(VLOOKUP(A110,#REF!,1,FALSE)),0,1)</f>
        <v>0</v>
      </c>
      <c r="C110" s="248">
        <f t="shared" si="27"/>
        <v>80</v>
      </c>
      <c r="D110" s="250" t="str">
        <f t="shared" si="20"/>
        <v/>
      </c>
      <c r="E110" s="42" t="str">
        <f t="shared" si="21"/>
        <v/>
      </c>
      <c r="F110" s="42" t="str">
        <f t="shared" si="22"/>
        <v/>
      </c>
      <c r="G110" s="367" t="str">
        <f t="shared" si="23"/>
        <v/>
      </c>
      <c r="H110" s="42"/>
      <c r="I110" s="249" t="str">
        <f t="shared" si="24"/>
        <v/>
      </c>
      <c r="J110" s="103" t="str">
        <f t="shared" si="25"/>
        <v/>
      </c>
      <c r="K110" s="338" t="str">
        <f t="shared" si="26"/>
        <v/>
      </c>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row>
    <row r="111" spans="1:58" ht="15.75" customHeight="1" x14ac:dyDescent="0.3">
      <c r="A111" s="339" t="e">
        <f>Contacts!$L$11&amp;"_"&amp;'Service Points'!C111</f>
        <v>#REF!</v>
      </c>
      <c r="B111" s="340">
        <f>IF(ISERROR(VLOOKUP(A111,#REF!,1,FALSE)),0,1)</f>
        <v>0</v>
      </c>
      <c r="C111" s="248">
        <f t="shared" si="27"/>
        <v>81</v>
      </c>
      <c r="D111" s="250" t="str">
        <f t="shared" si="20"/>
        <v/>
      </c>
      <c r="E111" s="42" t="str">
        <f t="shared" si="21"/>
        <v/>
      </c>
      <c r="F111" s="42" t="str">
        <f t="shared" si="22"/>
        <v/>
      </c>
      <c r="G111" s="367" t="str">
        <f t="shared" si="23"/>
        <v/>
      </c>
      <c r="H111" s="42"/>
      <c r="I111" s="249" t="str">
        <f t="shared" si="24"/>
        <v/>
      </c>
      <c r="J111" s="103" t="str">
        <f t="shared" si="25"/>
        <v/>
      </c>
      <c r="K111" s="338" t="str">
        <f t="shared" si="26"/>
        <v/>
      </c>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row>
    <row r="112" spans="1:58" ht="15.75" customHeight="1" x14ac:dyDescent="0.3">
      <c r="A112" s="339" t="e">
        <f>Contacts!$L$11&amp;"_"&amp;'Service Points'!C112</f>
        <v>#REF!</v>
      </c>
      <c r="B112" s="340">
        <f>IF(ISERROR(VLOOKUP(A112,#REF!,1,FALSE)),0,1)</f>
        <v>0</v>
      </c>
      <c r="C112" s="248">
        <f t="shared" si="27"/>
        <v>82</v>
      </c>
      <c r="D112" s="250" t="str">
        <f t="shared" si="20"/>
        <v/>
      </c>
      <c r="E112" s="42" t="str">
        <f t="shared" si="21"/>
        <v/>
      </c>
      <c r="F112" s="42" t="str">
        <f t="shared" si="22"/>
        <v/>
      </c>
      <c r="G112" s="367" t="str">
        <f t="shared" si="23"/>
        <v/>
      </c>
      <c r="H112" s="42"/>
      <c r="I112" s="249" t="str">
        <f t="shared" si="24"/>
        <v/>
      </c>
      <c r="J112" s="103" t="str">
        <f t="shared" si="25"/>
        <v/>
      </c>
      <c r="K112" s="338" t="str">
        <f t="shared" si="26"/>
        <v/>
      </c>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row>
    <row r="113" spans="1:58" ht="15.75" customHeight="1" x14ac:dyDescent="0.3">
      <c r="A113" s="339" t="e">
        <f>Contacts!$L$11&amp;"_"&amp;'Service Points'!C113</f>
        <v>#REF!</v>
      </c>
      <c r="B113" s="340">
        <f>IF(ISERROR(VLOOKUP(A113,#REF!,1,FALSE)),0,1)</f>
        <v>0</v>
      </c>
      <c r="C113" s="248">
        <f t="shared" si="27"/>
        <v>83</v>
      </c>
      <c r="D113" s="250" t="str">
        <f t="shared" si="20"/>
        <v/>
      </c>
      <c r="E113" s="42" t="str">
        <f t="shared" si="21"/>
        <v/>
      </c>
      <c r="F113" s="42" t="str">
        <f t="shared" si="22"/>
        <v/>
      </c>
      <c r="G113" s="367" t="str">
        <f t="shared" si="23"/>
        <v/>
      </c>
      <c r="H113" s="42"/>
      <c r="I113" s="249" t="str">
        <f t="shared" si="24"/>
        <v/>
      </c>
      <c r="J113" s="103" t="str">
        <f t="shared" si="25"/>
        <v/>
      </c>
      <c r="K113" s="338" t="str">
        <f t="shared" si="26"/>
        <v/>
      </c>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row>
    <row r="114" spans="1:58" ht="15.75" customHeight="1" x14ac:dyDescent="0.3">
      <c r="A114" s="339" t="e">
        <f>Contacts!$L$11&amp;"_"&amp;'Service Points'!C114</f>
        <v>#REF!</v>
      </c>
      <c r="B114" s="340">
        <f>IF(ISERROR(VLOOKUP(A114,#REF!,1,FALSE)),0,1)</f>
        <v>0</v>
      </c>
      <c r="C114" s="248">
        <f t="shared" si="27"/>
        <v>84</v>
      </c>
      <c r="D114" s="250" t="str">
        <f t="shared" si="20"/>
        <v/>
      </c>
      <c r="E114" s="42" t="str">
        <f t="shared" si="21"/>
        <v/>
      </c>
      <c r="F114" s="42" t="str">
        <f t="shared" si="22"/>
        <v/>
      </c>
      <c r="G114" s="367" t="str">
        <f t="shared" si="23"/>
        <v/>
      </c>
      <c r="H114" s="42"/>
      <c r="I114" s="249" t="str">
        <f t="shared" si="24"/>
        <v/>
      </c>
      <c r="J114" s="103" t="str">
        <f t="shared" si="25"/>
        <v/>
      </c>
      <c r="K114" s="338" t="str">
        <f t="shared" si="26"/>
        <v/>
      </c>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row>
    <row r="115" spans="1:58" ht="15.75" customHeight="1" x14ac:dyDescent="0.3">
      <c r="A115" s="339" t="e">
        <f>Contacts!$L$11&amp;"_"&amp;'Service Points'!C115</f>
        <v>#REF!</v>
      </c>
      <c r="B115" s="340">
        <f>IF(ISERROR(VLOOKUP(A115,#REF!,1,FALSE)),0,1)</f>
        <v>0</v>
      </c>
      <c r="C115" s="248">
        <f t="shared" si="27"/>
        <v>85</v>
      </c>
      <c r="D115" s="250" t="str">
        <f t="shared" si="20"/>
        <v/>
      </c>
      <c r="E115" s="42" t="str">
        <f t="shared" si="21"/>
        <v/>
      </c>
      <c r="F115" s="42" t="str">
        <f t="shared" si="22"/>
        <v/>
      </c>
      <c r="G115" s="367" t="str">
        <f t="shared" si="23"/>
        <v/>
      </c>
      <c r="H115" s="42"/>
      <c r="I115" s="249" t="str">
        <f t="shared" si="24"/>
        <v/>
      </c>
      <c r="J115" s="103" t="str">
        <f t="shared" si="25"/>
        <v/>
      </c>
      <c r="K115" s="338" t="str">
        <f t="shared" si="26"/>
        <v/>
      </c>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row>
    <row r="116" spans="1:58" ht="15.75" customHeight="1" x14ac:dyDescent="0.3">
      <c r="A116" s="339" t="e">
        <f>Contacts!$L$11&amp;"_"&amp;'Service Points'!C116</f>
        <v>#REF!</v>
      </c>
      <c r="B116" s="340">
        <f>IF(ISERROR(VLOOKUP(A116,#REF!,1,FALSE)),0,1)</f>
        <v>0</v>
      </c>
      <c r="C116" s="248">
        <f t="shared" si="27"/>
        <v>86</v>
      </c>
      <c r="D116" s="250" t="str">
        <f t="shared" si="20"/>
        <v/>
      </c>
      <c r="E116" s="42" t="str">
        <f t="shared" si="21"/>
        <v/>
      </c>
      <c r="F116" s="42" t="str">
        <f t="shared" si="22"/>
        <v/>
      </c>
      <c r="G116" s="367" t="str">
        <f t="shared" si="23"/>
        <v/>
      </c>
      <c r="H116" s="42"/>
      <c r="I116" s="249" t="str">
        <f t="shared" si="24"/>
        <v/>
      </c>
      <c r="J116" s="103" t="str">
        <f t="shared" si="25"/>
        <v/>
      </c>
      <c r="K116" s="338" t="str">
        <f t="shared" si="26"/>
        <v/>
      </c>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row>
    <row r="117" spans="1:58" ht="15.75" customHeight="1" x14ac:dyDescent="0.3">
      <c r="A117" s="339" t="e">
        <f>Contacts!$L$11&amp;"_"&amp;'Service Points'!C117</f>
        <v>#REF!</v>
      </c>
      <c r="B117" s="340">
        <f>IF(ISERROR(VLOOKUP(A117,#REF!,1,FALSE)),0,1)</f>
        <v>0</v>
      </c>
      <c r="C117" s="248">
        <f t="shared" si="27"/>
        <v>87</v>
      </c>
      <c r="D117" s="250" t="str">
        <f t="shared" si="20"/>
        <v/>
      </c>
      <c r="E117" s="42" t="str">
        <f t="shared" si="21"/>
        <v/>
      </c>
      <c r="F117" s="42" t="str">
        <f t="shared" si="22"/>
        <v/>
      </c>
      <c r="G117" s="367" t="str">
        <f t="shared" si="23"/>
        <v/>
      </c>
      <c r="H117" s="42"/>
      <c r="I117" s="249" t="str">
        <f t="shared" si="24"/>
        <v/>
      </c>
      <c r="J117" s="103" t="str">
        <f t="shared" si="25"/>
        <v/>
      </c>
      <c r="K117" s="338" t="str">
        <f t="shared" si="26"/>
        <v/>
      </c>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row>
    <row r="118" spans="1:58" ht="15.75" customHeight="1" x14ac:dyDescent="0.3">
      <c r="A118" s="339" t="e">
        <f>Contacts!$L$11&amp;"_"&amp;'Service Points'!C118</f>
        <v>#REF!</v>
      </c>
      <c r="B118" s="340">
        <f>IF(ISERROR(VLOOKUP(A118,#REF!,1,FALSE)),0,1)</f>
        <v>0</v>
      </c>
      <c r="C118" s="248">
        <f t="shared" si="27"/>
        <v>88</v>
      </c>
      <c r="D118" s="250" t="str">
        <f t="shared" si="20"/>
        <v/>
      </c>
      <c r="E118" s="42" t="str">
        <f t="shared" si="21"/>
        <v/>
      </c>
      <c r="F118" s="42" t="str">
        <f t="shared" si="22"/>
        <v/>
      </c>
      <c r="G118" s="367" t="str">
        <f t="shared" si="23"/>
        <v/>
      </c>
      <c r="H118" s="42"/>
      <c r="I118" s="249" t="str">
        <f t="shared" si="24"/>
        <v/>
      </c>
      <c r="J118" s="103" t="str">
        <f t="shared" si="25"/>
        <v/>
      </c>
      <c r="K118" s="338" t="str">
        <f t="shared" si="26"/>
        <v/>
      </c>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row>
    <row r="119" spans="1:58" ht="15.75" customHeight="1" x14ac:dyDescent="0.3">
      <c r="A119" s="339" t="e">
        <f>Contacts!$L$11&amp;"_"&amp;'Service Points'!C119</f>
        <v>#REF!</v>
      </c>
      <c r="B119" s="340">
        <f>IF(ISERROR(VLOOKUP(A119,#REF!,1,FALSE)),0,1)</f>
        <v>0</v>
      </c>
      <c r="C119" s="248">
        <f t="shared" si="27"/>
        <v>89</v>
      </c>
      <c r="D119" s="250" t="str">
        <f t="shared" si="20"/>
        <v/>
      </c>
      <c r="E119" s="42" t="str">
        <f t="shared" si="21"/>
        <v/>
      </c>
      <c r="F119" s="42" t="str">
        <f t="shared" si="22"/>
        <v/>
      </c>
      <c r="G119" s="367" t="str">
        <f t="shared" si="23"/>
        <v/>
      </c>
      <c r="H119" s="42"/>
      <c r="I119" s="249" t="str">
        <f t="shared" si="24"/>
        <v/>
      </c>
      <c r="J119" s="103" t="str">
        <f t="shared" si="25"/>
        <v/>
      </c>
      <c r="K119" s="338" t="str">
        <f t="shared" si="26"/>
        <v/>
      </c>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row>
    <row r="120" spans="1:58" ht="15.75" customHeight="1" x14ac:dyDescent="0.3">
      <c r="A120" s="339" t="e">
        <f>Contacts!$L$11&amp;"_"&amp;'Service Points'!C120</f>
        <v>#REF!</v>
      </c>
      <c r="B120" s="340">
        <f>IF(ISERROR(VLOOKUP(A120,#REF!,1,FALSE)),0,1)</f>
        <v>0</v>
      </c>
      <c r="C120" s="248">
        <f t="shared" si="27"/>
        <v>90</v>
      </c>
      <c r="D120" s="250" t="str">
        <f t="shared" si="20"/>
        <v/>
      </c>
      <c r="E120" s="42" t="str">
        <f t="shared" si="21"/>
        <v/>
      </c>
      <c r="F120" s="42" t="str">
        <f t="shared" si="22"/>
        <v/>
      </c>
      <c r="G120" s="367" t="str">
        <f t="shared" si="23"/>
        <v/>
      </c>
      <c r="H120" s="42"/>
      <c r="I120" s="249" t="str">
        <f t="shared" si="24"/>
        <v/>
      </c>
      <c r="J120" s="103" t="str">
        <f t="shared" si="25"/>
        <v/>
      </c>
      <c r="K120" s="338" t="str">
        <f t="shared" si="26"/>
        <v/>
      </c>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row>
    <row r="121" spans="1:58" ht="15.75" customHeight="1" x14ac:dyDescent="0.3">
      <c r="A121" s="339" t="e">
        <f>Contacts!$L$11&amp;"_"&amp;'Service Points'!C121</f>
        <v>#REF!</v>
      </c>
      <c r="B121" s="340">
        <f>IF(ISERROR(VLOOKUP(A121,#REF!,1,FALSE)),0,1)</f>
        <v>0</v>
      </c>
      <c r="C121" s="248">
        <f t="shared" si="27"/>
        <v>91</v>
      </c>
      <c r="D121" s="250" t="str">
        <f t="shared" si="20"/>
        <v/>
      </c>
      <c r="E121" s="42" t="str">
        <f t="shared" si="21"/>
        <v/>
      </c>
      <c r="F121" s="42" t="str">
        <f t="shared" si="22"/>
        <v/>
      </c>
      <c r="G121" s="367" t="str">
        <f t="shared" si="23"/>
        <v/>
      </c>
      <c r="H121" s="42"/>
      <c r="I121" s="249" t="str">
        <f t="shared" si="24"/>
        <v/>
      </c>
      <c r="J121" s="103" t="str">
        <f t="shared" si="25"/>
        <v/>
      </c>
      <c r="K121" s="338" t="str">
        <f t="shared" si="26"/>
        <v/>
      </c>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row>
    <row r="122" spans="1:58" ht="15.75" customHeight="1" x14ac:dyDescent="0.3">
      <c r="A122" s="339" t="e">
        <f>Contacts!$L$11&amp;"_"&amp;'Service Points'!C122</f>
        <v>#REF!</v>
      </c>
      <c r="B122" s="340">
        <f>IF(ISERROR(VLOOKUP(A122,#REF!,1,FALSE)),0,1)</f>
        <v>0</v>
      </c>
      <c r="C122" s="248">
        <f t="shared" si="27"/>
        <v>92</v>
      </c>
      <c r="D122" s="250" t="str">
        <f t="shared" si="20"/>
        <v/>
      </c>
      <c r="E122" s="42" t="str">
        <f t="shared" si="21"/>
        <v/>
      </c>
      <c r="F122" s="42" t="str">
        <f t="shared" si="22"/>
        <v/>
      </c>
      <c r="G122" s="367" t="str">
        <f t="shared" si="23"/>
        <v/>
      </c>
      <c r="H122" s="42"/>
      <c r="I122" s="249" t="str">
        <f t="shared" si="24"/>
        <v/>
      </c>
      <c r="J122" s="103" t="str">
        <f t="shared" si="25"/>
        <v/>
      </c>
      <c r="K122" s="338" t="str">
        <f t="shared" si="26"/>
        <v/>
      </c>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row>
    <row r="123" spans="1:58" ht="15.75" customHeight="1" x14ac:dyDescent="0.3">
      <c r="A123" s="339" t="e">
        <f>Contacts!$L$11&amp;"_"&amp;'Service Points'!C123</f>
        <v>#REF!</v>
      </c>
      <c r="B123" s="340">
        <f>IF(ISERROR(VLOOKUP(A123,#REF!,1,FALSE)),0,1)</f>
        <v>0</v>
      </c>
      <c r="C123" s="248">
        <f t="shared" si="27"/>
        <v>93</v>
      </c>
      <c r="D123" s="250" t="str">
        <f t="shared" si="20"/>
        <v/>
      </c>
      <c r="E123" s="42" t="str">
        <f t="shared" si="21"/>
        <v/>
      </c>
      <c r="F123" s="42" t="str">
        <f t="shared" si="22"/>
        <v/>
      </c>
      <c r="G123" s="367" t="str">
        <f t="shared" si="23"/>
        <v/>
      </c>
      <c r="H123" s="42"/>
      <c r="I123" s="249" t="str">
        <f t="shared" si="24"/>
        <v/>
      </c>
      <c r="J123" s="103" t="str">
        <f t="shared" si="25"/>
        <v/>
      </c>
      <c r="K123" s="338" t="str">
        <f t="shared" si="26"/>
        <v/>
      </c>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row>
    <row r="124" spans="1:58" ht="15.75" customHeight="1" x14ac:dyDescent="0.3">
      <c r="A124" s="339" t="e">
        <f>Contacts!$L$11&amp;"_"&amp;'Service Points'!C124</f>
        <v>#REF!</v>
      </c>
      <c r="B124" s="340">
        <f>IF(ISERROR(VLOOKUP(A124,#REF!,1,FALSE)),0,1)</f>
        <v>0</v>
      </c>
      <c r="C124" s="248">
        <f t="shared" si="27"/>
        <v>94</v>
      </c>
      <c r="D124" s="250" t="str">
        <f t="shared" si="20"/>
        <v/>
      </c>
      <c r="E124" s="42" t="str">
        <f t="shared" si="21"/>
        <v/>
      </c>
      <c r="F124" s="42" t="str">
        <f t="shared" si="22"/>
        <v/>
      </c>
      <c r="G124" s="367" t="str">
        <f t="shared" si="23"/>
        <v/>
      </c>
      <c r="H124" s="42"/>
      <c r="I124" s="249" t="str">
        <f t="shared" si="24"/>
        <v/>
      </c>
      <c r="J124" s="103" t="str">
        <f t="shared" si="25"/>
        <v/>
      </c>
      <c r="K124" s="338" t="str">
        <f t="shared" si="26"/>
        <v/>
      </c>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row>
    <row r="125" spans="1:58" ht="15.75" customHeight="1" x14ac:dyDescent="0.3">
      <c r="A125" s="339" t="e">
        <f>Contacts!$L$11&amp;"_"&amp;'Service Points'!C125</f>
        <v>#REF!</v>
      </c>
      <c r="B125" s="340">
        <f>IF(ISERROR(VLOOKUP(A125,#REF!,1,FALSE)),0,1)</f>
        <v>0</v>
      </c>
      <c r="C125" s="248">
        <f t="shared" si="27"/>
        <v>95</v>
      </c>
      <c r="D125" s="250" t="str">
        <f t="shared" si="20"/>
        <v/>
      </c>
      <c r="E125" s="42" t="str">
        <f t="shared" si="21"/>
        <v/>
      </c>
      <c r="F125" s="42" t="str">
        <f t="shared" si="22"/>
        <v/>
      </c>
      <c r="G125" s="367" t="str">
        <f t="shared" si="23"/>
        <v/>
      </c>
      <c r="H125" s="42"/>
      <c r="I125" s="249" t="str">
        <f t="shared" si="24"/>
        <v/>
      </c>
      <c r="J125" s="103" t="str">
        <f t="shared" si="25"/>
        <v/>
      </c>
      <c r="K125" s="338" t="str">
        <f t="shared" si="26"/>
        <v/>
      </c>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row>
    <row r="126" spans="1:58" ht="15.75" customHeight="1" x14ac:dyDescent="0.3">
      <c r="A126" s="339" t="e">
        <f>Contacts!$L$11&amp;"_"&amp;'Service Points'!C126</f>
        <v>#REF!</v>
      </c>
      <c r="B126" s="340">
        <f>IF(ISERROR(VLOOKUP(A126,#REF!,1,FALSE)),0,1)</f>
        <v>0</v>
      </c>
      <c r="C126" s="248">
        <f t="shared" si="27"/>
        <v>96</v>
      </c>
      <c r="D126" s="250" t="str">
        <f t="shared" si="20"/>
        <v/>
      </c>
      <c r="E126" s="42" t="str">
        <f t="shared" si="21"/>
        <v/>
      </c>
      <c r="F126" s="42" t="str">
        <f t="shared" si="22"/>
        <v/>
      </c>
      <c r="G126" s="367" t="str">
        <f t="shared" si="23"/>
        <v/>
      </c>
      <c r="H126" s="42"/>
      <c r="I126" s="249" t="str">
        <f t="shared" si="24"/>
        <v/>
      </c>
      <c r="J126" s="103" t="str">
        <f t="shared" si="25"/>
        <v/>
      </c>
      <c r="K126" s="338" t="str">
        <f t="shared" si="26"/>
        <v/>
      </c>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row>
    <row r="127" spans="1:58" ht="15.75" customHeight="1" x14ac:dyDescent="0.3">
      <c r="A127" s="339" t="e">
        <f>Contacts!$L$11&amp;"_"&amp;'Service Points'!C127</f>
        <v>#REF!</v>
      </c>
      <c r="B127" s="340">
        <f>IF(ISERROR(VLOOKUP(A127,#REF!,1,FALSE)),0,1)</f>
        <v>0</v>
      </c>
      <c r="C127" s="248">
        <f t="shared" si="27"/>
        <v>97</v>
      </c>
      <c r="D127" s="250" t="str">
        <f t="shared" ref="D127:D158" si="28">IF($B127=1,VLOOKUP($A127,LY_ServicePoints,2,FALSE),"")</f>
        <v/>
      </c>
      <c r="E127" s="42" t="str">
        <f t="shared" ref="E127:E158" si="29">IF($B127=1,VLOOKUP($A127,LY_ServicePoints,3,FALSE),"")</f>
        <v/>
      </c>
      <c r="F127" s="42" t="str">
        <f t="shared" ref="F127:F158" si="30">IF($B127=1,VLOOKUP($A127,LY_ServicePoints,4,FALSE),"")</f>
        <v/>
      </c>
      <c r="G127" s="367" t="str">
        <f t="shared" ref="G127:G158" si="31">IF($B127=1,VLOOKUP($A127,LY_ServicePoints,5,FALSE),"")</f>
        <v/>
      </c>
      <c r="H127" s="42"/>
      <c r="I127" s="249" t="str">
        <f t="shared" ref="I127:I158" si="32">IF($B127=1,VLOOKUP($A127,LY_ServicePoints,6,FALSE),"")</f>
        <v/>
      </c>
      <c r="J127" s="103" t="str">
        <f t="shared" ref="J127:J158" si="33">IF($B127=1,VLOOKUP($A127,LY_ServicePoints,7,FALSE),"")</f>
        <v/>
      </c>
      <c r="K127" s="338" t="str">
        <f t="shared" si="26"/>
        <v/>
      </c>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row>
    <row r="128" spans="1:58" ht="15.75" customHeight="1" x14ac:dyDescent="0.3">
      <c r="A128" s="339" t="e">
        <f>Contacts!$L$11&amp;"_"&amp;'Service Points'!C128</f>
        <v>#REF!</v>
      </c>
      <c r="B128" s="340">
        <f>IF(ISERROR(VLOOKUP(A128,#REF!,1,FALSE)),0,1)</f>
        <v>0</v>
      </c>
      <c r="C128" s="248">
        <f t="shared" si="27"/>
        <v>98</v>
      </c>
      <c r="D128" s="250" t="str">
        <f t="shared" si="28"/>
        <v/>
      </c>
      <c r="E128" s="42" t="str">
        <f t="shared" si="29"/>
        <v/>
      </c>
      <c r="F128" s="42" t="str">
        <f t="shared" si="30"/>
        <v/>
      </c>
      <c r="G128" s="367" t="str">
        <f t="shared" si="31"/>
        <v/>
      </c>
      <c r="H128" s="42"/>
      <c r="I128" s="249" t="str">
        <f t="shared" si="32"/>
        <v/>
      </c>
      <c r="J128" s="103" t="str">
        <f t="shared" si="33"/>
        <v/>
      </c>
      <c r="K128" s="338" t="str">
        <f t="shared" si="26"/>
        <v/>
      </c>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row>
    <row r="129" spans="1:58" ht="15.75" customHeight="1" x14ac:dyDescent="0.3">
      <c r="A129" s="339" t="e">
        <f>Contacts!$L$11&amp;"_"&amp;'Service Points'!C129</f>
        <v>#REF!</v>
      </c>
      <c r="B129" s="340">
        <f>IF(ISERROR(VLOOKUP(A129,#REF!,1,FALSE)),0,1)</f>
        <v>0</v>
      </c>
      <c r="C129" s="248">
        <f t="shared" si="27"/>
        <v>99</v>
      </c>
      <c r="D129" s="250" t="str">
        <f t="shared" si="28"/>
        <v/>
      </c>
      <c r="E129" s="42" t="str">
        <f t="shared" si="29"/>
        <v/>
      </c>
      <c r="F129" s="42" t="str">
        <f t="shared" si="30"/>
        <v/>
      </c>
      <c r="G129" s="367" t="str">
        <f t="shared" si="31"/>
        <v/>
      </c>
      <c r="H129" s="42"/>
      <c r="I129" s="249" t="str">
        <f t="shared" si="32"/>
        <v/>
      </c>
      <c r="J129" s="103" t="str">
        <f t="shared" si="33"/>
        <v/>
      </c>
      <c r="K129" s="338" t="str">
        <f t="shared" si="26"/>
        <v/>
      </c>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row>
    <row r="130" spans="1:58" ht="15.75" customHeight="1" x14ac:dyDescent="0.3">
      <c r="A130" s="339" t="e">
        <f>Contacts!$L$11&amp;"_"&amp;'Service Points'!C130</f>
        <v>#REF!</v>
      </c>
      <c r="B130" s="340">
        <f>IF(ISERROR(VLOOKUP(A130,#REF!,1,FALSE)),0,1)</f>
        <v>0</v>
      </c>
      <c r="C130" s="248">
        <f t="shared" si="27"/>
        <v>100</v>
      </c>
      <c r="D130" s="250" t="str">
        <f t="shared" si="28"/>
        <v/>
      </c>
      <c r="E130" s="42" t="str">
        <f t="shared" si="29"/>
        <v/>
      </c>
      <c r="F130" s="42" t="str">
        <f t="shared" si="30"/>
        <v/>
      </c>
      <c r="G130" s="367" t="str">
        <f t="shared" si="31"/>
        <v/>
      </c>
      <c r="H130" s="42"/>
      <c r="I130" s="249" t="str">
        <f t="shared" si="32"/>
        <v/>
      </c>
      <c r="J130" s="103" t="str">
        <f t="shared" si="33"/>
        <v/>
      </c>
      <c r="K130" s="338" t="str">
        <f t="shared" si="26"/>
        <v/>
      </c>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row>
    <row r="131" spans="1:58" ht="15.75" customHeight="1" x14ac:dyDescent="0.3">
      <c r="A131" s="339" t="e">
        <f>Contacts!$L$11&amp;"_"&amp;'Service Points'!C131</f>
        <v>#REF!</v>
      </c>
      <c r="B131" s="340">
        <f>IF(ISERROR(VLOOKUP(A131,#REF!,1,FALSE)),0,1)</f>
        <v>0</v>
      </c>
      <c r="C131" s="248">
        <f t="shared" si="27"/>
        <v>101</v>
      </c>
      <c r="D131" s="250" t="str">
        <f t="shared" si="28"/>
        <v/>
      </c>
      <c r="E131" s="42" t="str">
        <f t="shared" si="29"/>
        <v/>
      </c>
      <c r="F131" s="42" t="str">
        <f t="shared" si="30"/>
        <v/>
      </c>
      <c r="G131" s="367" t="str">
        <f t="shared" si="31"/>
        <v/>
      </c>
      <c r="H131" s="42"/>
      <c r="I131" s="249" t="str">
        <f t="shared" si="32"/>
        <v/>
      </c>
      <c r="J131" s="103" t="str">
        <f t="shared" si="33"/>
        <v/>
      </c>
      <c r="K131" s="338" t="str">
        <f t="shared" si="26"/>
        <v/>
      </c>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row>
    <row r="132" spans="1:58" ht="15.75" customHeight="1" x14ac:dyDescent="0.3">
      <c r="A132" s="339" t="e">
        <f>Contacts!$L$11&amp;"_"&amp;'Service Points'!C132</f>
        <v>#REF!</v>
      </c>
      <c r="B132" s="340">
        <f>IF(ISERROR(VLOOKUP(A132,#REF!,1,FALSE)),0,1)</f>
        <v>0</v>
      </c>
      <c r="C132" s="248">
        <f t="shared" si="27"/>
        <v>102</v>
      </c>
      <c r="D132" s="250" t="str">
        <f t="shared" si="28"/>
        <v/>
      </c>
      <c r="E132" s="42" t="str">
        <f t="shared" si="29"/>
        <v/>
      </c>
      <c r="F132" s="42" t="str">
        <f t="shared" si="30"/>
        <v/>
      </c>
      <c r="G132" s="367" t="str">
        <f t="shared" si="31"/>
        <v/>
      </c>
      <c r="H132" s="42"/>
      <c r="I132" s="249" t="str">
        <f t="shared" si="32"/>
        <v/>
      </c>
      <c r="J132" s="103" t="str">
        <f t="shared" si="33"/>
        <v/>
      </c>
      <c r="K132" s="338" t="str">
        <f t="shared" si="26"/>
        <v/>
      </c>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row>
    <row r="133" spans="1:58" ht="15.75" customHeight="1" x14ac:dyDescent="0.3">
      <c r="A133" s="339" t="e">
        <f>Contacts!$L$11&amp;"_"&amp;'Service Points'!C133</f>
        <v>#REF!</v>
      </c>
      <c r="B133" s="340">
        <f>IF(ISERROR(VLOOKUP(A133,#REF!,1,FALSE)),0,1)</f>
        <v>0</v>
      </c>
      <c r="C133" s="248">
        <f t="shared" si="27"/>
        <v>103</v>
      </c>
      <c r="D133" s="250" t="str">
        <f t="shared" si="28"/>
        <v/>
      </c>
      <c r="E133" s="42" t="str">
        <f t="shared" si="29"/>
        <v/>
      </c>
      <c r="F133" s="42" t="str">
        <f t="shared" si="30"/>
        <v/>
      </c>
      <c r="G133" s="367" t="str">
        <f t="shared" si="31"/>
        <v/>
      </c>
      <c r="H133" s="42"/>
      <c r="I133" s="249" t="str">
        <f t="shared" si="32"/>
        <v/>
      </c>
      <c r="J133" s="103" t="str">
        <f t="shared" si="33"/>
        <v/>
      </c>
      <c r="K133" s="338" t="str">
        <f t="shared" si="26"/>
        <v/>
      </c>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row>
    <row r="134" spans="1:58" ht="15.75" customHeight="1" x14ac:dyDescent="0.3">
      <c r="A134" s="339" t="e">
        <f>Contacts!$L$11&amp;"_"&amp;'Service Points'!C134</f>
        <v>#REF!</v>
      </c>
      <c r="B134" s="340">
        <f>IF(ISERROR(VLOOKUP(A134,#REF!,1,FALSE)),0,1)</f>
        <v>0</v>
      </c>
      <c r="C134" s="248">
        <f t="shared" si="27"/>
        <v>104</v>
      </c>
      <c r="D134" s="250" t="str">
        <f t="shared" si="28"/>
        <v/>
      </c>
      <c r="E134" s="42" t="str">
        <f t="shared" si="29"/>
        <v/>
      </c>
      <c r="F134" s="42" t="str">
        <f t="shared" si="30"/>
        <v/>
      </c>
      <c r="G134" s="367" t="str">
        <f t="shared" si="31"/>
        <v/>
      </c>
      <c r="H134" s="42"/>
      <c r="I134" s="249" t="str">
        <f t="shared" si="32"/>
        <v/>
      </c>
      <c r="J134" s="103" t="str">
        <f t="shared" si="33"/>
        <v/>
      </c>
      <c r="K134" s="338" t="str">
        <f t="shared" si="26"/>
        <v/>
      </c>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row>
    <row r="135" spans="1:58" ht="15.75" customHeight="1" x14ac:dyDescent="0.3">
      <c r="A135" s="339" t="e">
        <f>Contacts!$L$11&amp;"_"&amp;'Service Points'!C135</f>
        <v>#REF!</v>
      </c>
      <c r="B135" s="340">
        <f>IF(ISERROR(VLOOKUP(A135,#REF!,1,FALSE)),0,1)</f>
        <v>0</v>
      </c>
      <c r="C135" s="248">
        <f t="shared" si="27"/>
        <v>105</v>
      </c>
      <c r="D135" s="250" t="str">
        <f t="shared" si="28"/>
        <v/>
      </c>
      <c r="E135" s="42" t="str">
        <f t="shared" si="29"/>
        <v/>
      </c>
      <c r="F135" s="42" t="str">
        <f t="shared" si="30"/>
        <v/>
      </c>
      <c r="G135" s="367" t="str">
        <f t="shared" si="31"/>
        <v/>
      </c>
      <c r="H135" s="42"/>
      <c r="I135" s="249" t="str">
        <f t="shared" si="32"/>
        <v/>
      </c>
      <c r="J135" s="103" t="str">
        <f t="shared" si="33"/>
        <v/>
      </c>
      <c r="K135" s="338" t="str">
        <f t="shared" si="26"/>
        <v/>
      </c>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row>
    <row r="136" spans="1:58" ht="15.75" customHeight="1" x14ac:dyDescent="0.3">
      <c r="A136" s="339" t="e">
        <f>Contacts!$L$11&amp;"_"&amp;'Service Points'!C136</f>
        <v>#REF!</v>
      </c>
      <c r="B136" s="340">
        <f>IF(ISERROR(VLOOKUP(A136,#REF!,1,FALSE)),0,1)</f>
        <v>0</v>
      </c>
      <c r="C136" s="248">
        <f t="shared" si="27"/>
        <v>106</v>
      </c>
      <c r="D136" s="250" t="str">
        <f t="shared" si="28"/>
        <v/>
      </c>
      <c r="E136" s="42" t="str">
        <f t="shared" si="29"/>
        <v/>
      </c>
      <c r="F136" s="42" t="str">
        <f t="shared" si="30"/>
        <v/>
      </c>
      <c r="G136" s="367" t="str">
        <f t="shared" si="31"/>
        <v/>
      </c>
      <c r="H136" s="42"/>
      <c r="I136" s="249" t="str">
        <f t="shared" si="32"/>
        <v/>
      </c>
      <c r="J136" s="103" t="str">
        <f t="shared" si="33"/>
        <v/>
      </c>
      <c r="K136" s="338" t="str">
        <f t="shared" si="26"/>
        <v/>
      </c>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row>
    <row r="137" spans="1:58" ht="15.75" customHeight="1" x14ac:dyDescent="0.3">
      <c r="A137" s="339" t="e">
        <f>Contacts!$L$11&amp;"_"&amp;'Service Points'!C137</f>
        <v>#REF!</v>
      </c>
      <c r="B137" s="340">
        <f>IF(ISERROR(VLOOKUP(A137,#REF!,1,FALSE)),0,1)</f>
        <v>0</v>
      </c>
      <c r="C137" s="248">
        <f t="shared" si="27"/>
        <v>107</v>
      </c>
      <c r="D137" s="250" t="str">
        <f t="shared" si="28"/>
        <v/>
      </c>
      <c r="E137" s="42" t="str">
        <f t="shared" si="29"/>
        <v/>
      </c>
      <c r="F137" s="42" t="str">
        <f t="shared" si="30"/>
        <v/>
      </c>
      <c r="G137" s="367" t="str">
        <f t="shared" si="31"/>
        <v/>
      </c>
      <c r="H137" s="42"/>
      <c r="I137" s="249" t="str">
        <f t="shared" si="32"/>
        <v/>
      </c>
      <c r="J137" s="103" t="str">
        <f t="shared" si="33"/>
        <v/>
      </c>
      <c r="K137" s="338" t="str">
        <f t="shared" si="26"/>
        <v/>
      </c>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row>
    <row r="138" spans="1:58" ht="15.75" customHeight="1" x14ac:dyDescent="0.3">
      <c r="A138" s="339" t="e">
        <f>Contacts!$L$11&amp;"_"&amp;'Service Points'!C138</f>
        <v>#REF!</v>
      </c>
      <c r="B138" s="340">
        <f>IF(ISERROR(VLOOKUP(A138,#REF!,1,FALSE)),0,1)</f>
        <v>0</v>
      </c>
      <c r="C138" s="248">
        <f t="shared" si="27"/>
        <v>108</v>
      </c>
      <c r="D138" s="250" t="str">
        <f t="shared" si="28"/>
        <v/>
      </c>
      <c r="E138" s="42" t="str">
        <f t="shared" si="29"/>
        <v/>
      </c>
      <c r="F138" s="42" t="str">
        <f t="shared" si="30"/>
        <v/>
      </c>
      <c r="G138" s="367" t="str">
        <f t="shared" si="31"/>
        <v/>
      </c>
      <c r="H138" s="42"/>
      <c r="I138" s="249" t="str">
        <f t="shared" si="32"/>
        <v/>
      </c>
      <c r="J138" s="103" t="str">
        <f t="shared" si="33"/>
        <v/>
      </c>
      <c r="K138" s="338" t="str">
        <f t="shared" si="26"/>
        <v/>
      </c>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row>
    <row r="139" spans="1:58" ht="15.75" customHeight="1" x14ac:dyDescent="0.3">
      <c r="A139" s="339" t="e">
        <f>Contacts!$L$11&amp;"_"&amp;'Service Points'!C139</f>
        <v>#REF!</v>
      </c>
      <c r="B139" s="340">
        <f>IF(ISERROR(VLOOKUP(A139,#REF!,1,FALSE)),0,1)</f>
        <v>0</v>
      </c>
      <c r="C139" s="248">
        <f t="shared" si="27"/>
        <v>109</v>
      </c>
      <c r="D139" s="250" t="str">
        <f t="shared" si="28"/>
        <v/>
      </c>
      <c r="E139" s="42" t="str">
        <f t="shared" si="29"/>
        <v/>
      </c>
      <c r="F139" s="42" t="str">
        <f t="shared" si="30"/>
        <v/>
      </c>
      <c r="G139" s="367" t="str">
        <f t="shared" si="31"/>
        <v/>
      </c>
      <c r="H139" s="42"/>
      <c r="I139" s="249" t="str">
        <f t="shared" si="32"/>
        <v/>
      </c>
      <c r="J139" s="103" t="str">
        <f t="shared" si="33"/>
        <v/>
      </c>
      <c r="K139" s="338" t="str">
        <f t="shared" si="26"/>
        <v/>
      </c>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row>
    <row r="140" spans="1:58" ht="15.75" customHeight="1" x14ac:dyDescent="0.3">
      <c r="A140" s="339" t="e">
        <f>Contacts!$L$11&amp;"_"&amp;'Service Points'!C140</f>
        <v>#REF!</v>
      </c>
      <c r="B140" s="340">
        <f>IF(ISERROR(VLOOKUP(A140,#REF!,1,FALSE)),0,1)</f>
        <v>0</v>
      </c>
      <c r="C140" s="248">
        <f t="shared" si="27"/>
        <v>110</v>
      </c>
      <c r="D140" s="250" t="str">
        <f t="shared" si="28"/>
        <v/>
      </c>
      <c r="E140" s="42" t="str">
        <f t="shared" si="29"/>
        <v/>
      </c>
      <c r="F140" s="42" t="str">
        <f t="shared" si="30"/>
        <v/>
      </c>
      <c r="G140" s="367" t="str">
        <f t="shared" si="31"/>
        <v/>
      </c>
      <c r="H140" s="42"/>
      <c r="I140" s="249" t="str">
        <f t="shared" si="32"/>
        <v/>
      </c>
      <c r="J140" s="103" t="str">
        <f t="shared" si="33"/>
        <v/>
      </c>
      <c r="K140" s="338" t="str">
        <f t="shared" si="26"/>
        <v/>
      </c>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row>
    <row r="141" spans="1:58" ht="15.75" customHeight="1" x14ac:dyDescent="0.3">
      <c r="A141" s="339" t="e">
        <f>Contacts!$L$11&amp;"_"&amp;'Service Points'!C141</f>
        <v>#REF!</v>
      </c>
      <c r="B141" s="340">
        <f>IF(ISERROR(VLOOKUP(A141,#REF!,1,FALSE)),0,1)</f>
        <v>0</v>
      </c>
      <c r="C141" s="248">
        <f t="shared" si="27"/>
        <v>111</v>
      </c>
      <c r="D141" s="250" t="str">
        <f t="shared" si="28"/>
        <v/>
      </c>
      <c r="E141" s="42" t="str">
        <f t="shared" si="29"/>
        <v/>
      </c>
      <c r="F141" s="42" t="str">
        <f t="shared" si="30"/>
        <v/>
      </c>
      <c r="G141" s="367" t="str">
        <f t="shared" si="31"/>
        <v/>
      </c>
      <c r="H141" s="42"/>
      <c r="I141" s="249" t="str">
        <f t="shared" si="32"/>
        <v/>
      </c>
      <c r="J141" s="103" t="str">
        <f t="shared" si="33"/>
        <v/>
      </c>
      <c r="K141" s="338" t="str">
        <f t="shared" si="26"/>
        <v/>
      </c>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row>
    <row r="142" spans="1:58" ht="15.75" customHeight="1" x14ac:dyDescent="0.3">
      <c r="A142" s="339" t="e">
        <f>Contacts!$L$11&amp;"_"&amp;'Service Points'!C142</f>
        <v>#REF!</v>
      </c>
      <c r="B142" s="340">
        <f>IF(ISERROR(VLOOKUP(A142,#REF!,1,FALSE)),0,1)</f>
        <v>0</v>
      </c>
      <c r="C142" s="248">
        <f t="shared" si="27"/>
        <v>112</v>
      </c>
      <c r="D142" s="250" t="str">
        <f t="shared" si="28"/>
        <v/>
      </c>
      <c r="E142" s="42" t="str">
        <f t="shared" si="29"/>
        <v/>
      </c>
      <c r="F142" s="42" t="str">
        <f t="shared" si="30"/>
        <v/>
      </c>
      <c r="G142" s="367" t="str">
        <f t="shared" si="31"/>
        <v/>
      </c>
      <c r="H142" s="42"/>
      <c r="I142" s="249" t="str">
        <f t="shared" si="32"/>
        <v/>
      </c>
      <c r="J142" s="103" t="str">
        <f t="shared" si="33"/>
        <v/>
      </c>
      <c r="K142" s="338" t="str">
        <f t="shared" si="26"/>
        <v/>
      </c>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row>
    <row r="143" spans="1:58" ht="15.75" customHeight="1" x14ac:dyDescent="0.3">
      <c r="A143" s="339" t="e">
        <f>Contacts!$L$11&amp;"_"&amp;'Service Points'!C143</f>
        <v>#REF!</v>
      </c>
      <c r="B143" s="340">
        <f>IF(ISERROR(VLOOKUP(A143,#REF!,1,FALSE)),0,1)</f>
        <v>0</v>
      </c>
      <c r="C143" s="248">
        <f t="shared" si="27"/>
        <v>113</v>
      </c>
      <c r="D143" s="250" t="str">
        <f t="shared" si="28"/>
        <v/>
      </c>
      <c r="E143" s="42" t="str">
        <f t="shared" si="29"/>
        <v/>
      </c>
      <c r="F143" s="42" t="str">
        <f t="shared" si="30"/>
        <v/>
      </c>
      <c r="G143" s="367" t="str">
        <f t="shared" si="31"/>
        <v/>
      </c>
      <c r="H143" s="42"/>
      <c r="I143" s="249" t="str">
        <f t="shared" si="32"/>
        <v/>
      </c>
      <c r="J143" s="103" t="str">
        <f t="shared" si="33"/>
        <v/>
      </c>
      <c r="K143" s="338" t="str">
        <f t="shared" si="26"/>
        <v/>
      </c>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row>
    <row r="144" spans="1:58" ht="15.75" customHeight="1" x14ac:dyDescent="0.3">
      <c r="A144" s="339" t="e">
        <f>Contacts!$L$11&amp;"_"&amp;'Service Points'!C144</f>
        <v>#REF!</v>
      </c>
      <c r="B144" s="340">
        <f>IF(ISERROR(VLOOKUP(A144,#REF!,1,FALSE)),0,1)</f>
        <v>0</v>
      </c>
      <c r="C144" s="248">
        <f t="shared" si="27"/>
        <v>114</v>
      </c>
      <c r="D144" s="250" t="str">
        <f t="shared" si="28"/>
        <v/>
      </c>
      <c r="E144" s="42" t="str">
        <f t="shared" si="29"/>
        <v/>
      </c>
      <c r="F144" s="42" t="str">
        <f t="shared" si="30"/>
        <v/>
      </c>
      <c r="G144" s="367" t="str">
        <f t="shared" si="31"/>
        <v/>
      </c>
      <c r="H144" s="42"/>
      <c r="I144" s="249" t="str">
        <f t="shared" si="32"/>
        <v/>
      </c>
      <c r="J144" s="103" t="str">
        <f t="shared" si="33"/>
        <v/>
      </c>
      <c r="K144" s="338" t="str">
        <f t="shared" si="26"/>
        <v/>
      </c>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row>
    <row r="145" spans="1:58" ht="15.75" customHeight="1" x14ac:dyDescent="0.3">
      <c r="A145" s="339" t="e">
        <f>Contacts!$L$11&amp;"_"&amp;'Service Points'!C145</f>
        <v>#REF!</v>
      </c>
      <c r="B145" s="340">
        <f>IF(ISERROR(VLOOKUP(A145,#REF!,1,FALSE)),0,1)</f>
        <v>0</v>
      </c>
      <c r="C145" s="248">
        <f t="shared" si="27"/>
        <v>115</v>
      </c>
      <c r="D145" s="250" t="str">
        <f t="shared" si="28"/>
        <v/>
      </c>
      <c r="E145" s="42" t="str">
        <f t="shared" si="29"/>
        <v/>
      </c>
      <c r="F145" s="42" t="str">
        <f t="shared" si="30"/>
        <v/>
      </c>
      <c r="G145" s="367" t="str">
        <f t="shared" si="31"/>
        <v/>
      </c>
      <c r="H145" s="42"/>
      <c r="I145" s="249" t="str">
        <f t="shared" si="32"/>
        <v/>
      </c>
      <c r="J145" s="103" t="str">
        <f t="shared" si="33"/>
        <v/>
      </c>
      <c r="K145" s="338" t="str">
        <f t="shared" si="26"/>
        <v/>
      </c>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row>
    <row r="146" spans="1:58" ht="15.75" customHeight="1" x14ac:dyDescent="0.3">
      <c r="A146" s="339" t="e">
        <f>Contacts!$L$11&amp;"_"&amp;'Service Points'!C146</f>
        <v>#REF!</v>
      </c>
      <c r="B146" s="340">
        <f>IF(ISERROR(VLOOKUP(A146,#REF!,1,FALSE)),0,1)</f>
        <v>0</v>
      </c>
      <c r="C146" s="248">
        <f t="shared" si="27"/>
        <v>116</v>
      </c>
      <c r="D146" s="250" t="str">
        <f t="shared" si="28"/>
        <v/>
      </c>
      <c r="E146" s="42" t="str">
        <f t="shared" si="29"/>
        <v/>
      </c>
      <c r="F146" s="42" t="str">
        <f t="shared" si="30"/>
        <v/>
      </c>
      <c r="G146" s="367" t="str">
        <f t="shared" si="31"/>
        <v/>
      </c>
      <c r="H146" s="42"/>
      <c r="I146" s="249" t="str">
        <f t="shared" si="32"/>
        <v/>
      </c>
      <c r="J146" s="103" t="str">
        <f t="shared" si="33"/>
        <v/>
      </c>
      <c r="K146" s="338" t="str">
        <f t="shared" si="26"/>
        <v/>
      </c>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row>
    <row r="147" spans="1:58" ht="15.75" customHeight="1" x14ac:dyDescent="0.3">
      <c r="A147" s="339" t="e">
        <f>Contacts!$L$11&amp;"_"&amp;'Service Points'!C147</f>
        <v>#REF!</v>
      </c>
      <c r="B147" s="340">
        <f>IF(ISERROR(VLOOKUP(A147,#REF!,1,FALSE)),0,1)</f>
        <v>0</v>
      </c>
      <c r="C147" s="248">
        <f t="shared" si="27"/>
        <v>117</v>
      </c>
      <c r="D147" s="250" t="str">
        <f t="shared" si="28"/>
        <v/>
      </c>
      <c r="E147" s="42" t="str">
        <f t="shared" si="29"/>
        <v/>
      </c>
      <c r="F147" s="42" t="str">
        <f t="shared" si="30"/>
        <v/>
      </c>
      <c r="G147" s="367" t="str">
        <f t="shared" si="31"/>
        <v/>
      </c>
      <c r="H147" s="42"/>
      <c r="I147" s="249" t="str">
        <f t="shared" si="32"/>
        <v/>
      </c>
      <c r="J147" s="103" t="str">
        <f t="shared" si="33"/>
        <v/>
      </c>
      <c r="K147" s="338" t="str">
        <f t="shared" si="26"/>
        <v/>
      </c>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row>
    <row r="148" spans="1:58" ht="15.75" customHeight="1" x14ac:dyDescent="0.3">
      <c r="A148" s="339" t="e">
        <f>Contacts!$L$11&amp;"_"&amp;'Service Points'!C148</f>
        <v>#REF!</v>
      </c>
      <c r="B148" s="340">
        <f>IF(ISERROR(VLOOKUP(A148,#REF!,1,FALSE)),0,1)</f>
        <v>0</v>
      </c>
      <c r="C148" s="248">
        <f t="shared" si="27"/>
        <v>118</v>
      </c>
      <c r="D148" s="250" t="str">
        <f t="shared" si="28"/>
        <v/>
      </c>
      <c r="E148" s="42" t="str">
        <f t="shared" si="29"/>
        <v/>
      </c>
      <c r="F148" s="42" t="str">
        <f t="shared" si="30"/>
        <v/>
      </c>
      <c r="G148" s="367" t="str">
        <f t="shared" si="31"/>
        <v/>
      </c>
      <c r="H148" s="42"/>
      <c r="I148" s="249" t="str">
        <f t="shared" si="32"/>
        <v/>
      </c>
      <c r="J148" s="103" t="str">
        <f t="shared" si="33"/>
        <v/>
      </c>
      <c r="K148" s="338" t="str">
        <f t="shared" si="26"/>
        <v/>
      </c>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row>
    <row r="149" spans="1:58" ht="15.75" customHeight="1" x14ac:dyDescent="0.3">
      <c r="A149" s="339" t="e">
        <f>Contacts!$L$11&amp;"_"&amp;'Service Points'!C149</f>
        <v>#REF!</v>
      </c>
      <c r="B149" s="340">
        <f>IF(ISERROR(VLOOKUP(A149,#REF!,1,FALSE)),0,1)</f>
        <v>0</v>
      </c>
      <c r="C149" s="248">
        <f t="shared" si="27"/>
        <v>119</v>
      </c>
      <c r="D149" s="250" t="str">
        <f t="shared" si="28"/>
        <v/>
      </c>
      <c r="E149" s="42" t="str">
        <f t="shared" si="29"/>
        <v/>
      </c>
      <c r="F149" s="42" t="str">
        <f t="shared" si="30"/>
        <v/>
      </c>
      <c r="G149" s="367" t="str">
        <f t="shared" si="31"/>
        <v/>
      </c>
      <c r="H149" s="42"/>
      <c r="I149" s="249" t="str">
        <f t="shared" si="32"/>
        <v/>
      </c>
      <c r="J149" s="103" t="str">
        <f t="shared" si="33"/>
        <v/>
      </c>
      <c r="K149" s="338" t="str">
        <f t="shared" si="26"/>
        <v/>
      </c>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row>
    <row r="150" spans="1:58" ht="15.75" customHeight="1" x14ac:dyDescent="0.3">
      <c r="A150" s="339" t="e">
        <f>Contacts!$L$11&amp;"_"&amp;'Service Points'!C150</f>
        <v>#REF!</v>
      </c>
      <c r="B150" s="340">
        <f>IF(ISERROR(VLOOKUP(A150,#REF!,1,FALSE)),0,1)</f>
        <v>0</v>
      </c>
      <c r="C150" s="248">
        <f t="shared" si="27"/>
        <v>120</v>
      </c>
      <c r="D150" s="250" t="str">
        <f t="shared" si="28"/>
        <v/>
      </c>
      <c r="E150" s="42" t="str">
        <f t="shared" si="29"/>
        <v/>
      </c>
      <c r="F150" s="42" t="str">
        <f t="shared" si="30"/>
        <v/>
      </c>
      <c r="G150" s="367" t="str">
        <f t="shared" si="31"/>
        <v/>
      </c>
      <c r="H150" s="42"/>
      <c r="I150" s="249" t="str">
        <f t="shared" si="32"/>
        <v/>
      </c>
      <c r="J150" s="103" t="str">
        <f t="shared" si="33"/>
        <v/>
      </c>
      <c r="K150" s="338" t="str">
        <f t="shared" si="26"/>
        <v/>
      </c>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row>
    <row r="151" spans="1:58" ht="15.75" customHeight="1" x14ac:dyDescent="0.3">
      <c r="A151" s="339" t="e">
        <f>Contacts!$L$11&amp;"_"&amp;'Service Points'!C151</f>
        <v>#REF!</v>
      </c>
      <c r="B151" s="340">
        <f>IF(ISERROR(VLOOKUP(A151,#REF!,1,FALSE)),0,1)</f>
        <v>0</v>
      </c>
      <c r="C151" s="248">
        <f t="shared" si="27"/>
        <v>121</v>
      </c>
      <c r="D151" s="250" t="str">
        <f t="shared" si="28"/>
        <v/>
      </c>
      <c r="E151" s="42" t="str">
        <f t="shared" si="29"/>
        <v/>
      </c>
      <c r="F151" s="42" t="str">
        <f t="shared" si="30"/>
        <v/>
      </c>
      <c r="G151" s="367" t="str">
        <f t="shared" si="31"/>
        <v/>
      </c>
      <c r="H151" s="42"/>
      <c r="I151" s="249" t="str">
        <f t="shared" si="32"/>
        <v/>
      </c>
      <c r="J151" s="103" t="str">
        <f t="shared" si="33"/>
        <v/>
      </c>
      <c r="K151" s="338" t="str">
        <f t="shared" si="26"/>
        <v/>
      </c>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row>
    <row r="152" spans="1:58" ht="15.75" customHeight="1" x14ac:dyDescent="0.3">
      <c r="A152" s="339" t="e">
        <f>Contacts!$L$11&amp;"_"&amp;'Service Points'!C152</f>
        <v>#REF!</v>
      </c>
      <c r="B152" s="340">
        <f>IF(ISERROR(VLOOKUP(A152,#REF!,1,FALSE)),0,1)</f>
        <v>0</v>
      </c>
      <c r="C152" s="248">
        <f t="shared" si="27"/>
        <v>122</v>
      </c>
      <c r="D152" s="250" t="str">
        <f t="shared" si="28"/>
        <v/>
      </c>
      <c r="E152" s="42" t="str">
        <f t="shared" si="29"/>
        <v/>
      </c>
      <c r="F152" s="42" t="str">
        <f t="shared" si="30"/>
        <v/>
      </c>
      <c r="G152" s="367" t="str">
        <f t="shared" si="31"/>
        <v/>
      </c>
      <c r="H152" s="42"/>
      <c r="I152" s="249" t="str">
        <f t="shared" si="32"/>
        <v/>
      </c>
      <c r="J152" s="103" t="str">
        <f t="shared" si="33"/>
        <v/>
      </c>
      <c r="K152" s="338" t="str">
        <f t="shared" si="26"/>
        <v/>
      </c>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row>
    <row r="153" spans="1:58" ht="15.75" customHeight="1" x14ac:dyDescent="0.3">
      <c r="A153" s="339" t="e">
        <f>Contacts!$L$11&amp;"_"&amp;'Service Points'!C153</f>
        <v>#REF!</v>
      </c>
      <c r="B153" s="340">
        <f>IF(ISERROR(VLOOKUP(A153,#REF!,1,FALSE)),0,1)</f>
        <v>0</v>
      </c>
      <c r="C153" s="248">
        <f t="shared" si="27"/>
        <v>123</v>
      </c>
      <c r="D153" s="250" t="str">
        <f t="shared" si="28"/>
        <v/>
      </c>
      <c r="E153" s="42" t="str">
        <f t="shared" si="29"/>
        <v/>
      </c>
      <c r="F153" s="42" t="str">
        <f t="shared" si="30"/>
        <v/>
      </c>
      <c r="G153" s="367" t="str">
        <f t="shared" si="31"/>
        <v/>
      </c>
      <c r="H153" s="42"/>
      <c r="I153" s="249" t="str">
        <f t="shared" si="32"/>
        <v/>
      </c>
      <c r="J153" s="103" t="str">
        <f t="shared" si="33"/>
        <v/>
      </c>
      <c r="K153" s="338" t="str">
        <f t="shared" si="26"/>
        <v/>
      </c>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row>
    <row r="154" spans="1:58" ht="15.75" customHeight="1" x14ac:dyDescent="0.3">
      <c r="A154" s="339" t="e">
        <f>Contacts!$L$11&amp;"_"&amp;'Service Points'!C154</f>
        <v>#REF!</v>
      </c>
      <c r="B154" s="340">
        <f>IF(ISERROR(VLOOKUP(A154,#REF!,1,FALSE)),0,1)</f>
        <v>0</v>
      </c>
      <c r="C154" s="248">
        <f t="shared" si="27"/>
        <v>124</v>
      </c>
      <c r="D154" s="250" t="str">
        <f t="shared" si="28"/>
        <v/>
      </c>
      <c r="E154" s="42" t="str">
        <f t="shared" si="29"/>
        <v/>
      </c>
      <c r="F154" s="42" t="str">
        <f t="shared" si="30"/>
        <v/>
      </c>
      <c r="G154" s="367" t="str">
        <f t="shared" si="31"/>
        <v/>
      </c>
      <c r="H154" s="42"/>
      <c r="I154" s="249" t="str">
        <f t="shared" si="32"/>
        <v/>
      </c>
      <c r="J154" s="103" t="str">
        <f t="shared" si="33"/>
        <v/>
      </c>
      <c r="K154" s="338" t="str">
        <f t="shared" si="26"/>
        <v/>
      </c>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row>
    <row r="155" spans="1:58" ht="15.75" customHeight="1" x14ac:dyDescent="0.3">
      <c r="A155" s="339" t="e">
        <f>Contacts!$L$11&amp;"_"&amp;'Service Points'!C155</f>
        <v>#REF!</v>
      </c>
      <c r="B155" s="340">
        <f>IF(ISERROR(VLOOKUP(A155,#REF!,1,FALSE)),0,1)</f>
        <v>0</v>
      </c>
      <c r="C155" s="248">
        <f t="shared" si="27"/>
        <v>125</v>
      </c>
      <c r="D155" s="250" t="str">
        <f t="shared" si="28"/>
        <v/>
      </c>
      <c r="E155" s="42" t="str">
        <f t="shared" si="29"/>
        <v/>
      </c>
      <c r="F155" s="42" t="str">
        <f t="shared" si="30"/>
        <v/>
      </c>
      <c r="G155" s="367" t="str">
        <f t="shared" si="31"/>
        <v/>
      </c>
      <c r="H155" s="42"/>
      <c r="I155" s="249" t="str">
        <f t="shared" si="32"/>
        <v/>
      </c>
      <c r="J155" s="103" t="str">
        <f t="shared" si="33"/>
        <v/>
      </c>
      <c r="K155" s="338" t="str">
        <f t="shared" si="26"/>
        <v/>
      </c>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row>
    <row r="156" spans="1:58" ht="15.75" customHeight="1" x14ac:dyDescent="0.3">
      <c r="A156" s="339" t="e">
        <f>Contacts!$L$11&amp;"_"&amp;'Service Points'!C156</f>
        <v>#REF!</v>
      </c>
      <c r="B156" s="340">
        <f>IF(ISERROR(VLOOKUP(A156,#REF!,1,FALSE)),0,1)</f>
        <v>0</v>
      </c>
      <c r="C156" s="248">
        <f t="shared" si="27"/>
        <v>126</v>
      </c>
      <c r="D156" s="250" t="str">
        <f t="shared" si="28"/>
        <v/>
      </c>
      <c r="E156" s="42" t="str">
        <f t="shared" si="29"/>
        <v/>
      </c>
      <c r="F156" s="42" t="str">
        <f t="shared" si="30"/>
        <v/>
      </c>
      <c r="G156" s="367" t="str">
        <f t="shared" si="31"/>
        <v/>
      </c>
      <c r="H156" s="42"/>
      <c r="I156" s="249" t="str">
        <f t="shared" si="32"/>
        <v/>
      </c>
      <c r="J156" s="103" t="str">
        <f t="shared" si="33"/>
        <v/>
      </c>
      <c r="K156" s="338" t="str">
        <f t="shared" si="26"/>
        <v/>
      </c>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row>
    <row r="157" spans="1:58" ht="15.75" customHeight="1" x14ac:dyDescent="0.3">
      <c r="A157" s="339" t="e">
        <f>Contacts!$L$11&amp;"_"&amp;'Service Points'!C157</f>
        <v>#REF!</v>
      </c>
      <c r="B157" s="340">
        <f>IF(ISERROR(VLOOKUP(A157,#REF!,1,FALSE)),0,1)</f>
        <v>0</v>
      </c>
      <c r="C157" s="248">
        <f t="shared" si="27"/>
        <v>127</v>
      </c>
      <c r="D157" s="250" t="str">
        <f t="shared" si="28"/>
        <v/>
      </c>
      <c r="E157" s="42" t="str">
        <f t="shared" si="29"/>
        <v/>
      </c>
      <c r="F157" s="42" t="str">
        <f t="shared" si="30"/>
        <v/>
      </c>
      <c r="G157" s="367" t="str">
        <f t="shared" si="31"/>
        <v/>
      </c>
      <c r="H157" s="42"/>
      <c r="I157" s="249" t="str">
        <f t="shared" si="32"/>
        <v/>
      </c>
      <c r="J157" s="103" t="str">
        <f t="shared" si="33"/>
        <v/>
      </c>
      <c r="K157" s="338" t="str">
        <f t="shared" si="26"/>
        <v/>
      </c>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row>
    <row r="158" spans="1:58" ht="15.75" customHeight="1" x14ac:dyDescent="0.3">
      <c r="A158" s="339" t="e">
        <f>Contacts!$L$11&amp;"_"&amp;'Service Points'!C158</f>
        <v>#REF!</v>
      </c>
      <c r="B158" s="340">
        <f>IF(ISERROR(VLOOKUP(A158,#REF!,1,FALSE)),0,1)</f>
        <v>0</v>
      </c>
      <c r="C158" s="248">
        <f t="shared" si="27"/>
        <v>128</v>
      </c>
      <c r="D158" s="250" t="str">
        <f t="shared" si="28"/>
        <v/>
      </c>
      <c r="E158" s="42" t="str">
        <f t="shared" si="29"/>
        <v/>
      </c>
      <c r="F158" s="42" t="str">
        <f t="shared" si="30"/>
        <v/>
      </c>
      <c r="G158" s="367" t="str">
        <f t="shared" si="31"/>
        <v/>
      </c>
      <c r="H158" s="42"/>
      <c r="I158" s="249" t="str">
        <f t="shared" si="32"/>
        <v/>
      </c>
      <c r="J158" s="103" t="str">
        <f t="shared" si="33"/>
        <v/>
      </c>
      <c r="K158" s="338" t="str">
        <f t="shared" si="26"/>
        <v/>
      </c>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row>
    <row r="159" spans="1:58" ht="15.75" customHeight="1" x14ac:dyDescent="0.3">
      <c r="A159" s="339" t="e">
        <f>Contacts!$L$11&amp;"_"&amp;'Service Points'!C159</f>
        <v>#REF!</v>
      </c>
      <c r="B159" s="340">
        <f>IF(ISERROR(VLOOKUP(A159,#REF!,1,FALSE)),0,1)</f>
        <v>0</v>
      </c>
      <c r="C159" s="248">
        <f t="shared" si="27"/>
        <v>129</v>
      </c>
      <c r="D159" s="250" t="str">
        <f t="shared" ref="D159:D170" si="34">IF($B159=1,VLOOKUP($A159,LY_ServicePoints,2,FALSE),"")</f>
        <v/>
      </c>
      <c r="E159" s="42" t="str">
        <f t="shared" ref="E159:E170" si="35">IF($B159=1,VLOOKUP($A159,LY_ServicePoints,3,FALSE),"")</f>
        <v/>
      </c>
      <c r="F159" s="42" t="str">
        <f t="shared" ref="F159:F170" si="36">IF($B159=1,VLOOKUP($A159,LY_ServicePoints,4,FALSE),"")</f>
        <v/>
      </c>
      <c r="G159" s="367" t="str">
        <f t="shared" ref="G159:G170" si="37">IF($B159=1,VLOOKUP($A159,LY_ServicePoints,5,FALSE),"")</f>
        <v/>
      </c>
      <c r="H159" s="42"/>
      <c r="I159" s="249" t="str">
        <f t="shared" ref="I159:I170" si="38">IF($B159=1,VLOOKUP($A159,LY_ServicePoints,6,FALSE),"")</f>
        <v/>
      </c>
      <c r="J159" s="103" t="str">
        <f t="shared" ref="J159:J170" si="39">IF($B159=1,VLOOKUP($A159,LY_ServicePoints,7,FALSE),"")</f>
        <v/>
      </c>
      <c r="K159" s="338" t="str">
        <f t="shared" si="26"/>
        <v/>
      </c>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row>
    <row r="160" spans="1:58" ht="15.75" customHeight="1" x14ac:dyDescent="0.3">
      <c r="A160" s="339" t="e">
        <f>Contacts!$L$11&amp;"_"&amp;'Service Points'!C160</f>
        <v>#REF!</v>
      </c>
      <c r="B160" s="340">
        <f>IF(ISERROR(VLOOKUP(A160,#REF!,1,FALSE)),0,1)</f>
        <v>0</v>
      </c>
      <c r="C160" s="248">
        <f t="shared" si="27"/>
        <v>130</v>
      </c>
      <c r="D160" s="250" t="str">
        <f t="shared" si="34"/>
        <v/>
      </c>
      <c r="E160" s="42" t="str">
        <f t="shared" si="35"/>
        <v/>
      </c>
      <c r="F160" s="42" t="str">
        <f t="shared" si="36"/>
        <v/>
      </c>
      <c r="G160" s="367" t="str">
        <f t="shared" si="37"/>
        <v/>
      </c>
      <c r="H160" s="42"/>
      <c r="I160" s="249" t="str">
        <f t="shared" si="38"/>
        <v/>
      </c>
      <c r="J160" s="103" t="str">
        <f t="shared" si="39"/>
        <v/>
      </c>
      <c r="K160" s="338" t="str">
        <f t="shared" ref="K160:K170" si="40">IF(AND(ISTEXT(F160),ISTEXT(G160)),LEFT(E160,1),"")</f>
        <v/>
      </c>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row>
    <row r="161" spans="1:58" ht="15.75" customHeight="1" x14ac:dyDescent="0.3">
      <c r="A161" s="339" t="e">
        <f>Contacts!$L$11&amp;"_"&amp;'Service Points'!C161</f>
        <v>#REF!</v>
      </c>
      <c r="B161" s="340">
        <f>IF(ISERROR(VLOOKUP(A161,#REF!,1,FALSE)),0,1)</f>
        <v>0</v>
      </c>
      <c r="C161" s="248">
        <f t="shared" ref="C161:C170" si="41">C160+1</f>
        <v>131</v>
      </c>
      <c r="D161" s="250" t="str">
        <f t="shared" si="34"/>
        <v/>
      </c>
      <c r="E161" s="42" t="str">
        <f t="shared" si="35"/>
        <v/>
      </c>
      <c r="F161" s="42" t="str">
        <f t="shared" si="36"/>
        <v/>
      </c>
      <c r="G161" s="367" t="str">
        <f t="shared" si="37"/>
        <v/>
      </c>
      <c r="H161" s="42"/>
      <c r="I161" s="249" t="str">
        <f t="shared" si="38"/>
        <v/>
      </c>
      <c r="J161" s="103" t="str">
        <f t="shared" si="39"/>
        <v/>
      </c>
      <c r="K161" s="338" t="str">
        <f t="shared" si="40"/>
        <v/>
      </c>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row>
    <row r="162" spans="1:58" ht="15.75" customHeight="1" x14ac:dyDescent="0.3">
      <c r="A162" s="339" t="e">
        <f>Contacts!$L$11&amp;"_"&amp;'Service Points'!C162</f>
        <v>#REF!</v>
      </c>
      <c r="B162" s="340">
        <f>IF(ISERROR(VLOOKUP(A162,#REF!,1,FALSE)),0,1)</f>
        <v>0</v>
      </c>
      <c r="C162" s="248">
        <f t="shared" si="41"/>
        <v>132</v>
      </c>
      <c r="D162" s="250" t="str">
        <f t="shared" si="34"/>
        <v/>
      </c>
      <c r="E162" s="42" t="str">
        <f t="shared" si="35"/>
        <v/>
      </c>
      <c r="F162" s="42" t="str">
        <f t="shared" si="36"/>
        <v/>
      </c>
      <c r="G162" s="367" t="str">
        <f t="shared" si="37"/>
        <v/>
      </c>
      <c r="H162" s="42"/>
      <c r="I162" s="249" t="str">
        <f t="shared" si="38"/>
        <v/>
      </c>
      <c r="J162" s="103" t="str">
        <f t="shared" si="39"/>
        <v/>
      </c>
      <c r="K162" s="338" t="str">
        <f t="shared" si="40"/>
        <v/>
      </c>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row>
    <row r="163" spans="1:58" ht="15.75" customHeight="1" x14ac:dyDescent="0.3">
      <c r="A163" s="339" t="e">
        <f>Contacts!$L$11&amp;"_"&amp;'Service Points'!C163</f>
        <v>#REF!</v>
      </c>
      <c r="B163" s="340">
        <f>IF(ISERROR(VLOOKUP(A163,#REF!,1,FALSE)),0,1)</f>
        <v>0</v>
      </c>
      <c r="C163" s="248">
        <f t="shared" si="41"/>
        <v>133</v>
      </c>
      <c r="D163" s="250" t="str">
        <f t="shared" si="34"/>
        <v/>
      </c>
      <c r="E163" s="42" t="str">
        <f t="shared" si="35"/>
        <v/>
      </c>
      <c r="F163" s="42" t="str">
        <f t="shared" si="36"/>
        <v/>
      </c>
      <c r="G163" s="367" t="str">
        <f t="shared" si="37"/>
        <v/>
      </c>
      <c r="H163" s="42"/>
      <c r="I163" s="249" t="str">
        <f t="shared" si="38"/>
        <v/>
      </c>
      <c r="J163" s="103" t="str">
        <f t="shared" si="39"/>
        <v/>
      </c>
      <c r="K163" s="338" t="str">
        <f t="shared" si="40"/>
        <v/>
      </c>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row>
    <row r="164" spans="1:58" ht="15.75" customHeight="1" x14ac:dyDescent="0.3">
      <c r="A164" s="339" t="e">
        <f>Contacts!$L$11&amp;"_"&amp;'Service Points'!C164</f>
        <v>#REF!</v>
      </c>
      <c r="B164" s="340">
        <f>IF(ISERROR(VLOOKUP(A164,#REF!,1,FALSE)),0,1)</f>
        <v>0</v>
      </c>
      <c r="C164" s="248">
        <f t="shared" si="41"/>
        <v>134</v>
      </c>
      <c r="D164" s="250" t="str">
        <f t="shared" si="34"/>
        <v/>
      </c>
      <c r="E164" s="42" t="str">
        <f t="shared" si="35"/>
        <v/>
      </c>
      <c r="F164" s="42" t="str">
        <f t="shared" si="36"/>
        <v/>
      </c>
      <c r="G164" s="367" t="str">
        <f t="shared" si="37"/>
        <v/>
      </c>
      <c r="H164" s="42"/>
      <c r="I164" s="249" t="str">
        <f t="shared" si="38"/>
        <v/>
      </c>
      <c r="J164" s="103" t="str">
        <f t="shared" si="39"/>
        <v/>
      </c>
      <c r="K164" s="338" t="str">
        <f t="shared" si="40"/>
        <v/>
      </c>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row>
    <row r="165" spans="1:58" ht="15.75" customHeight="1" x14ac:dyDescent="0.3">
      <c r="A165" s="339" t="e">
        <f>Contacts!$L$11&amp;"_"&amp;'Service Points'!C165</f>
        <v>#REF!</v>
      </c>
      <c r="B165" s="340">
        <f>IF(ISERROR(VLOOKUP(A165,#REF!,1,FALSE)),0,1)</f>
        <v>0</v>
      </c>
      <c r="C165" s="248">
        <f t="shared" si="41"/>
        <v>135</v>
      </c>
      <c r="D165" s="250" t="str">
        <f t="shared" si="34"/>
        <v/>
      </c>
      <c r="E165" s="42" t="str">
        <f t="shared" si="35"/>
        <v/>
      </c>
      <c r="F165" s="42" t="str">
        <f t="shared" si="36"/>
        <v/>
      </c>
      <c r="G165" s="367" t="str">
        <f t="shared" si="37"/>
        <v/>
      </c>
      <c r="H165" s="42"/>
      <c r="I165" s="249" t="str">
        <f t="shared" si="38"/>
        <v/>
      </c>
      <c r="J165" s="103" t="str">
        <f t="shared" si="39"/>
        <v/>
      </c>
      <c r="K165" s="338" t="str">
        <f t="shared" si="40"/>
        <v/>
      </c>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row>
    <row r="166" spans="1:58" ht="15.75" customHeight="1" x14ac:dyDescent="0.3">
      <c r="A166" s="339" t="e">
        <f>Contacts!$L$11&amp;"_"&amp;'Service Points'!C166</f>
        <v>#REF!</v>
      </c>
      <c r="B166" s="340">
        <f>IF(ISERROR(VLOOKUP(A166,#REF!,1,FALSE)),0,1)</f>
        <v>0</v>
      </c>
      <c r="C166" s="248">
        <f t="shared" si="41"/>
        <v>136</v>
      </c>
      <c r="D166" s="250" t="str">
        <f t="shared" si="34"/>
        <v/>
      </c>
      <c r="E166" s="42" t="str">
        <f t="shared" si="35"/>
        <v/>
      </c>
      <c r="F166" s="42" t="str">
        <f t="shared" si="36"/>
        <v/>
      </c>
      <c r="G166" s="367" t="str">
        <f t="shared" si="37"/>
        <v/>
      </c>
      <c r="H166" s="42"/>
      <c r="I166" s="249" t="str">
        <f t="shared" si="38"/>
        <v/>
      </c>
      <c r="J166" s="103" t="str">
        <f t="shared" si="39"/>
        <v/>
      </c>
      <c r="K166" s="338" t="str">
        <f t="shared" si="40"/>
        <v/>
      </c>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row>
    <row r="167" spans="1:58" ht="15.75" customHeight="1" x14ac:dyDescent="0.3">
      <c r="A167" s="339" t="e">
        <f>Contacts!$L$11&amp;"_"&amp;'Service Points'!C167</f>
        <v>#REF!</v>
      </c>
      <c r="B167" s="340">
        <f>IF(ISERROR(VLOOKUP(A167,#REF!,1,FALSE)),0,1)</f>
        <v>0</v>
      </c>
      <c r="C167" s="248">
        <f t="shared" si="41"/>
        <v>137</v>
      </c>
      <c r="D167" s="250" t="str">
        <f t="shared" si="34"/>
        <v/>
      </c>
      <c r="E167" s="42" t="str">
        <f t="shared" si="35"/>
        <v/>
      </c>
      <c r="F167" s="42" t="str">
        <f t="shared" si="36"/>
        <v/>
      </c>
      <c r="G167" s="367" t="str">
        <f t="shared" si="37"/>
        <v/>
      </c>
      <c r="H167" s="42"/>
      <c r="I167" s="249" t="str">
        <f t="shared" si="38"/>
        <v/>
      </c>
      <c r="J167" s="103" t="str">
        <f t="shared" si="39"/>
        <v/>
      </c>
      <c r="K167" s="338" t="str">
        <f t="shared" si="40"/>
        <v/>
      </c>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row>
    <row r="168" spans="1:58" ht="15.75" customHeight="1" x14ac:dyDescent="0.3">
      <c r="A168" s="339" t="e">
        <f>Contacts!$L$11&amp;"_"&amp;'Service Points'!C168</f>
        <v>#REF!</v>
      </c>
      <c r="B168" s="340">
        <f>IF(ISERROR(VLOOKUP(A168,#REF!,1,FALSE)),0,1)</f>
        <v>0</v>
      </c>
      <c r="C168" s="248">
        <f t="shared" si="41"/>
        <v>138</v>
      </c>
      <c r="D168" s="250" t="str">
        <f t="shared" si="34"/>
        <v/>
      </c>
      <c r="E168" s="42" t="str">
        <f t="shared" si="35"/>
        <v/>
      </c>
      <c r="F168" s="42" t="str">
        <f t="shared" si="36"/>
        <v/>
      </c>
      <c r="G168" s="367" t="str">
        <f t="shared" si="37"/>
        <v/>
      </c>
      <c r="H168" s="42"/>
      <c r="I168" s="249" t="str">
        <f t="shared" si="38"/>
        <v/>
      </c>
      <c r="J168" s="103" t="str">
        <f t="shared" si="39"/>
        <v/>
      </c>
      <c r="K168" s="338" t="str">
        <f t="shared" si="40"/>
        <v/>
      </c>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row>
    <row r="169" spans="1:58" ht="15.75" customHeight="1" x14ac:dyDescent="0.3">
      <c r="A169" s="339" t="e">
        <f>Contacts!$L$11&amp;"_"&amp;'Service Points'!C169</f>
        <v>#REF!</v>
      </c>
      <c r="B169" s="340">
        <f>IF(ISERROR(VLOOKUP(A169,#REF!,1,FALSE)),0,1)</f>
        <v>0</v>
      </c>
      <c r="C169" s="248">
        <f t="shared" si="41"/>
        <v>139</v>
      </c>
      <c r="D169" s="250" t="str">
        <f t="shared" si="34"/>
        <v/>
      </c>
      <c r="E169" s="42" t="str">
        <f t="shared" si="35"/>
        <v/>
      </c>
      <c r="F169" s="42" t="str">
        <f t="shared" si="36"/>
        <v/>
      </c>
      <c r="G169" s="367" t="str">
        <f t="shared" si="37"/>
        <v/>
      </c>
      <c r="H169" s="42"/>
      <c r="I169" s="249" t="str">
        <f t="shared" si="38"/>
        <v/>
      </c>
      <c r="J169" s="103" t="str">
        <f t="shared" si="39"/>
        <v/>
      </c>
      <c r="K169" s="338" t="str">
        <f t="shared" si="40"/>
        <v/>
      </c>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row>
    <row r="170" spans="1:58" ht="15.75" customHeight="1" x14ac:dyDescent="0.3">
      <c r="A170" s="339" t="e">
        <f>Contacts!$L$11&amp;"_"&amp;'Service Points'!C170</f>
        <v>#REF!</v>
      </c>
      <c r="B170" s="340">
        <f>IF(ISERROR(VLOOKUP(A170,#REF!,1,FALSE)),0,1)</f>
        <v>0</v>
      </c>
      <c r="C170" s="248">
        <f t="shared" si="41"/>
        <v>140</v>
      </c>
      <c r="D170" s="250" t="str">
        <f t="shared" si="34"/>
        <v/>
      </c>
      <c r="E170" s="42" t="str">
        <f t="shared" si="35"/>
        <v/>
      </c>
      <c r="F170" s="42" t="str">
        <f t="shared" si="36"/>
        <v/>
      </c>
      <c r="G170" s="367" t="str">
        <f t="shared" si="37"/>
        <v/>
      </c>
      <c r="H170" s="42"/>
      <c r="I170" s="249" t="str">
        <f t="shared" si="38"/>
        <v/>
      </c>
      <c r="J170" s="103" t="str">
        <f t="shared" si="39"/>
        <v/>
      </c>
      <c r="K170" s="338" t="str">
        <f t="shared" si="40"/>
        <v/>
      </c>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row>
    <row r="171" spans="1:58" ht="12.75" customHeight="1" thickBot="1" x14ac:dyDescent="0.35">
      <c r="B171" s="61"/>
      <c r="C171" s="62"/>
      <c r="D171" s="62"/>
      <c r="E171" s="62"/>
      <c r="F171" s="62"/>
      <c r="G171" s="62"/>
      <c r="H171" s="62"/>
      <c r="I171" s="62"/>
      <c r="J171" s="62"/>
      <c r="K171" s="63"/>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row>
    <row r="172" spans="1:58" ht="12.75" customHeight="1" x14ac:dyDescent="0.3">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row>
    <row r="173" spans="1:58" ht="12.75" customHeight="1" x14ac:dyDescent="0.3">
      <c r="B173" s="405" t="e">
        <f>Contacts!B59</f>
        <v>#REF!</v>
      </c>
      <c r="C173" s="405"/>
      <c r="D173" s="405"/>
      <c r="E173" s="405"/>
      <c r="F173" s="405"/>
      <c r="G173" s="405"/>
      <c r="H173" s="405"/>
      <c r="I173" s="405"/>
      <c r="J173" s="405"/>
      <c r="K173" s="405"/>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row>
    <row r="174" spans="1:58" ht="12.75" customHeight="1" x14ac:dyDescent="0.3">
      <c r="B174" s="417" t="str">
        <f>Contacts!B60</f>
        <v>The Chartered Institute of Public Finance and Accountancy (CIPFA)</v>
      </c>
      <c r="C174" s="417"/>
      <c r="D174" s="417"/>
      <c r="E174" s="417"/>
      <c r="F174" s="417"/>
      <c r="G174" s="417"/>
      <c r="H174" s="417"/>
      <c r="I174" s="417"/>
      <c r="J174" s="417"/>
      <c r="K174" s="417"/>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row>
    <row r="175" spans="1:58" ht="12.75" customHeight="1" x14ac:dyDescent="0.3">
      <c r="B175" s="402" t="str">
        <f>Contacts!B61</f>
        <v>77 Mansell Street, London, E1 8AN</v>
      </c>
      <c r="C175" s="402"/>
      <c r="D175" s="402"/>
      <c r="E175" s="402"/>
      <c r="F175" s="402"/>
      <c r="G175" s="402"/>
      <c r="H175" s="402"/>
      <c r="I175" s="402"/>
      <c r="J175" s="402"/>
      <c r="K175" s="402"/>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row>
    <row r="176" spans="1:58" ht="12.75" customHeight="1" x14ac:dyDescent="0.3">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row>
    <row r="177" s="51" customFormat="1" ht="15.75" customHeight="1" x14ac:dyDescent="0.3"/>
    <row r="178" s="51" customFormat="1" ht="15.75" customHeight="1" x14ac:dyDescent="0.3"/>
  </sheetData>
  <sheetProtection selectLockedCells="1"/>
  <mergeCells count="15">
    <mergeCell ref="B8:I8"/>
    <mergeCell ref="C5:E5"/>
    <mergeCell ref="B6:K6"/>
    <mergeCell ref="H24:H28"/>
    <mergeCell ref="E24:E28"/>
    <mergeCell ref="I24:I27"/>
    <mergeCell ref="D24:D28"/>
    <mergeCell ref="J24:J28"/>
    <mergeCell ref="F24:F28"/>
    <mergeCell ref="C22:J22"/>
    <mergeCell ref="B175:K175"/>
    <mergeCell ref="B173:K173"/>
    <mergeCell ref="B174:K174"/>
    <mergeCell ref="C24:C28"/>
    <mergeCell ref="G24:G28"/>
  </mergeCells>
  <phoneticPr fontId="0" type="noConversion"/>
  <conditionalFormatting sqref="F31:J170">
    <cfRule type="cellIs" dxfId="23" priority="2" stopIfTrue="1" operator="equal">
      <formula>"**"</formula>
    </cfRule>
  </conditionalFormatting>
  <conditionalFormatting sqref="K31:K170">
    <cfRule type="cellIs" dxfId="22" priority="1" stopIfTrue="1" operator="greaterThan">
      <formula>#REF!</formula>
    </cfRule>
  </conditionalFormatting>
  <dataValidations count="3">
    <dataValidation type="list" allowBlank="1" showInputMessage="1" showErrorMessage="1" sqref="E31:E170" xr:uid="{00000000-0002-0000-0100-000000000000}">
      <formula1>"Static,Mobile"</formula1>
    </dataValidation>
    <dataValidation type="list" allowBlank="1" showInputMessage="1" showErrorMessage="1" sqref="I31:I170" xr:uid="{6F92F798-FA16-42F9-BD2B-C71AF03C4664}">
      <formula1>LibraryType</formula1>
    </dataValidation>
    <dataValidation type="list" allowBlank="1" showInputMessage="1" showErrorMessage="1" sqref="J31:J170" xr:uid="{44212C28-4820-4A61-9D09-3A0C00BA9ABC}">
      <formula1>Statutory</formula1>
    </dataValidation>
  </dataValidations>
  <hyperlinks>
    <hyperlink ref="C22:F22" location="Questionnaire!A1" tooltip="Main Questionnaire tab" display="To return to the Main Questionnaire tab, click here." xr:uid="{00000000-0004-0000-0100-000000000000}"/>
    <hyperlink ref="J8" location="'Guidance Notes'!C42" display="?" xr:uid="{00000000-0004-0000-0100-000001000000}"/>
    <hyperlink ref="I28" location="'Guidance Notes'!D61" tooltip="Type of Library definitions" display="For definitions, click here" xr:uid="{00000000-0004-0000-0100-000002000000}"/>
    <hyperlink ref="C17" location="Contacts!Print_Area" display="If the Cells below are blank and you provided a return last year, please return to the contacts tab and fill it in" xr:uid="{00000000-0004-0000-0100-000003000000}"/>
  </hyperlinks>
  <printOptions horizontalCentered="1"/>
  <pageMargins left="0.11811023622047245" right="0.11811023622047245" top="0.23622047244094491" bottom="0.19685039370078741" header="0.15748031496062992" footer="0"/>
  <pageSetup paperSize="9" scale="78" fitToHeight="3" orientation="portrait" r:id="rId1"/>
  <headerFooter alignWithMargins="0"/>
  <rowBreaks count="1" manualBreakCount="1">
    <brk id="138"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7030A0"/>
  </sheetPr>
  <dimension ref="A1:T472"/>
  <sheetViews>
    <sheetView showGridLines="0" showRowColHeaders="0" zoomScale="106" zoomScaleNormal="106" zoomScaleSheetLayoutView="100" workbookViewId="0">
      <selection activeCell="J170" sqref="J170"/>
    </sheetView>
  </sheetViews>
  <sheetFormatPr defaultColWidth="0" defaultRowHeight="0" customHeight="1" zeroHeight="1" x14ac:dyDescent="0.35"/>
  <cols>
    <col min="1" max="1" width="1.69140625" style="50" customWidth="1"/>
    <col min="2" max="2" width="4.69140625" style="50" customWidth="1"/>
    <col min="3" max="3" width="3.23046875" style="50" customWidth="1"/>
    <col min="4" max="4" width="8.765625" style="50" customWidth="1"/>
    <col min="5" max="5" width="6.4609375" style="50" customWidth="1"/>
    <col min="6" max="6" width="14" style="50" customWidth="1"/>
    <col min="7" max="7" width="4.3046875" style="50" customWidth="1"/>
    <col min="8" max="8" width="12.4609375" style="50" customWidth="1"/>
    <col min="9" max="9" width="3.07421875" style="50" customWidth="1"/>
    <col min="10" max="10" width="12.4609375" style="50" customWidth="1"/>
    <col min="11" max="11" width="3.07421875" style="50" customWidth="1"/>
    <col min="12" max="12" width="12.4609375" style="50" customWidth="1"/>
    <col min="13" max="13" width="3.07421875" style="50" customWidth="1"/>
    <col min="14" max="14" width="2" style="50" customWidth="1"/>
    <col min="15" max="15" width="2.07421875" customWidth="1"/>
    <col min="16" max="19" width="2.07421875" style="50" customWidth="1"/>
    <col min="20" max="20" width="10.4609375" style="50" customWidth="1"/>
    <col min="21" max="25" width="8.84375" style="50" customWidth="1"/>
    <col min="26" max="16384" width="8.84375" style="50" hidden="1"/>
  </cols>
  <sheetData>
    <row r="1" spans="2:15" ht="18" customHeight="1" x14ac:dyDescent="0.35"/>
    <row r="2" spans="2:15" ht="18" customHeight="1" x14ac:dyDescent="0.35">
      <c r="D2" s="95"/>
      <c r="E2" s="96"/>
      <c r="F2" s="97"/>
      <c r="G2" s="51"/>
      <c r="H2" s="51"/>
      <c r="I2" s="51"/>
      <c r="J2" s="51"/>
      <c r="K2" s="51"/>
      <c r="L2" s="51"/>
      <c r="M2" s="51"/>
    </row>
    <row r="3" spans="2:15" ht="18" customHeight="1" x14ac:dyDescent="0.35">
      <c r="D3" s="97"/>
      <c r="E3" s="51"/>
      <c r="F3" s="51"/>
      <c r="G3" s="51"/>
      <c r="H3" s="51"/>
      <c r="I3" s="51"/>
      <c r="J3" s="51"/>
      <c r="K3" s="51"/>
      <c r="L3" s="51"/>
      <c r="M3" s="51"/>
    </row>
    <row r="4" spans="2:15" ht="18" customHeight="1" x14ac:dyDescent="0.35">
      <c r="D4" s="97"/>
      <c r="E4" s="51"/>
      <c r="F4" s="51"/>
      <c r="G4" s="51"/>
      <c r="H4" s="98"/>
      <c r="I4" s="99"/>
      <c r="J4" s="51"/>
      <c r="K4" s="51"/>
      <c r="L4" s="51"/>
      <c r="M4" s="51"/>
    </row>
    <row r="5" spans="2:15" ht="18" customHeight="1" x14ac:dyDescent="0.3">
      <c r="B5" s="93"/>
      <c r="C5" s="497" t="e">
        <f>Contacts!C7</f>
        <v>#REF!</v>
      </c>
      <c r="D5" s="497"/>
      <c r="E5" s="497"/>
      <c r="F5" s="497"/>
      <c r="G5" s="497"/>
      <c r="H5" s="497"/>
      <c r="I5" s="497"/>
      <c r="J5" s="497"/>
      <c r="K5" s="497"/>
      <c r="L5" s="497"/>
      <c r="M5" s="497"/>
      <c r="O5" s="50"/>
    </row>
    <row r="6" spans="2:15" ht="57.75" customHeight="1" thickBot="1" x14ac:dyDescent="0.4">
      <c r="B6" s="517" t="s">
        <v>55</v>
      </c>
      <c r="C6" s="517"/>
      <c r="D6" s="517"/>
      <c r="E6" s="517"/>
      <c r="F6" s="517"/>
      <c r="G6" s="517"/>
      <c r="H6" s="517"/>
      <c r="I6" s="517"/>
      <c r="J6" s="517"/>
      <c r="K6" s="517"/>
      <c r="L6" s="517"/>
      <c r="M6" s="517"/>
      <c r="N6" s="517"/>
    </row>
    <row r="7" spans="2:15" ht="18" customHeight="1" thickBot="1" x14ac:dyDescent="0.4">
      <c r="B7" s="382" t="e">
        <f>CONCATENATE("Section 1  - Service Points Open to the Public at 31 March ",Year+1)</f>
        <v>#REF!</v>
      </c>
      <c r="C7" s="451"/>
      <c r="D7" s="451"/>
      <c r="E7" s="451"/>
      <c r="F7" s="451"/>
      <c r="G7" s="451"/>
      <c r="H7" s="451"/>
      <c r="I7" s="451"/>
      <c r="J7" s="451"/>
      <c r="K7" s="451"/>
      <c r="L7" s="474" t="s">
        <v>56</v>
      </c>
      <c r="M7" s="474"/>
      <c r="N7" s="475"/>
    </row>
    <row r="8" spans="2:15" ht="18" customHeight="1" x14ac:dyDescent="0.35">
      <c r="B8" s="150"/>
      <c r="C8" s="501" t="s">
        <v>57</v>
      </c>
      <c r="D8" s="501"/>
      <c r="E8" s="501"/>
      <c r="F8" s="501"/>
      <c r="G8" s="501"/>
      <c r="H8" s="501"/>
      <c r="I8" s="501"/>
      <c r="J8" s="501"/>
      <c r="K8" s="501"/>
      <c r="L8" s="501"/>
      <c r="M8" s="501"/>
      <c r="N8" s="151"/>
    </row>
    <row r="9" spans="2:15" ht="18" customHeight="1" x14ac:dyDescent="0.35">
      <c r="B9" s="150"/>
      <c r="C9" s="501"/>
      <c r="D9" s="501"/>
      <c r="E9" s="501"/>
      <c r="F9" s="501"/>
      <c r="G9" s="501"/>
      <c r="H9" s="501"/>
      <c r="I9" s="501"/>
      <c r="J9" s="501"/>
      <c r="K9" s="501"/>
      <c r="L9" s="501"/>
      <c r="M9" s="501"/>
      <c r="N9" s="151"/>
    </row>
    <row r="10" spans="2:15" ht="18" customHeight="1" x14ac:dyDescent="0.35">
      <c r="B10" s="150"/>
      <c r="C10" s="502" t="s">
        <v>58</v>
      </c>
      <c r="D10" s="502"/>
      <c r="E10" s="502"/>
      <c r="F10" s="502"/>
      <c r="G10" s="502"/>
      <c r="H10" s="502"/>
      <c r="I10" s="502"/>
      <c r="J10" s="502"/>
      <c r="K10" s="502"/>
      <c r="L10" s="502"/>
      <c r="M10" s="502"/>
      <c r="N10" s="151"/>
    </row>
    <row r="11" spans="2:15" ht="18" customHeight="1" x14ac:dyDescent="0.35">
      <c r="B11" s="150"/>
      <c r="C11" s="502"/>
      <c r="D11" s="502"/>
      <c r="E11" s="502"/>
      <c r="F11" s="502"/>
      <c r="G11" s="502"/>
      <c r="H11" s="502"/>
      <c r="I11" s="502"/>
      <c r="J11" s="502"/>
      <c r="K11" s="502"/>
      <c r="L11" s="502"/>
      <c r="M11" s="502"/>
      <c r="N11" s="151"/>
    </row>
    <row r="12" spans="2:15" ht="18" customHeight="1" x14ac:dyDescent="0.35">
      <c r="B12" s="150"/>
      <c r="C12" s="507" t="s">
        <v>59</v>
      </c>
      <c r="D12" s="507"/>
      <c r="E12" s="507"/>
      <c r="F12" s="507"/>
      <c r="G12" s="507"/>
      <c r="H12" s="507"/>
      <c r="I12" s="507"/>
      <c r="J12" s="507"/>
      <c r="K12" s="507"/>
      <c r="L12" s="507"/>
      <c r="M12" s="507"/>
      <c r="N12" s="151"/>
    </row>
    <row r="13" spans="2:15" ht="18" customHeight="1" x14ac:dyDescent="0.35">
      <c r="B13" s="150"/>
      <c r="C13" s="508"/>
      <c r="D13" s="508"/>
      <c r="E13" s="508"/>
      <c r="F13" s="508"/>
      <c r="G13" s="508"/>
      <c r="H13" s="508"/>
      <c r="I13" s="508"/>
      <c r="J13" s="508"/>
      <c r="K13" s="508"/>
      <c r="L13" s="508"/>
      <c r="M13" s="508"/>
      <c r="N13" s="224"/>
    </row>
    <row r="14" spans="2:15" ht="18" customHeight="1" x14ac:dyDescent="0.35">
      <c r="B14" s="366" t="s">
        <v>60</v>
      </c>
      <c r="C14" s="365"/>
      <c r="D14" s="20"/>
      <c r="E14" s="49"/>
      <c r="F14" s="111"/>
      <c r="G14" s="111"/>
      <c r="H14" s="71" t="s">
        <v>44</v>
      </c>
      <c r="I14" s="213"/>
      <c r="J14" s="71" t="s">
        <v>45</v>
      </c>
      <c r="K14" s="213"/>
      <c r="L14" s="71" t="s">
        <v>61</v>
      </c>
      <c r="M14" s="49"/>
      <c r="N14" s="151"/>
    </row>
    <row r="15" spans="2:15" ht="15" customHeight="1" x14ac:dyDescent="0.35">
      <c r="B15" s="152">
        <v>1</v>
      </c>
      <c r="C15" s="49"/>
      <c r="D15" s="2" t="s">
        <v>62</v>
      </c>
      <c r="E15" s="2"/>
      <c r="F15" s="111"/>
      <c r="G15" s="49"/>
      <c r="H15" s="215" t="e">
        <f>'Service Points'!#REF!</f>
        <v>#REF!</v>
      </c>
      <c r="I15" s="209">
        <v>1</v>
      </c>
      <c r="J15" s="215" t="e">
        <f>'Service Points'!#REF!</f>
        <v>#REF!</v>
      </c>
      <c r="K15" s="209">
        <f>I29+1</f>
        <v>16</v>
      </c>
      <c r="L15" s="215" t="e">
        <f>LIBR0181+LIBR0196</f>
        <v>#REF!</v>
      </c>
      <c r="M15" s="209">
        <f>K29+1</f>
        <v>31</v>
      </c>
      <c r="N15" s="151"/>
    </row>
    <row r="16" spans="2:15" ht="18" customHeight="1" x14ac:dyDescent="0.35">
      <c r="B16" s="152">
        <f>B15+1</f>
        <v>2</v>
      </c>
      <c r="C16" s="49"/>
      <c r="D16" s="2" t="s">
        <v>63</v>
      </c>
      <c r="E16" s="2"/>
      <c r="F16" s="111"/>
      <c r="G16" s="49"/>
      <c r="H16" s="215" t="e">
        <f>'Service Points'!#REF!</f>
        <v>#REF!</v>
      </c>
      <c r="I16" s="209">
        <f>I15+1</f>
        <v>2</v>
      </c>
      <c r="J16" s="215" t="e">
        <f>'Service Points'!#REF!</f>
        <v>#REF!</v>
      </c>
      <c r="K16" s="209">
        <f>K15+1</f>
        <v>17</v>
      </c>
      <c r="L16" s="215" t="e">
        <f>LIBR0182+LIBR0197</f>
        <v>#REF!</v>
      </c>
      <c r="M16" s="209">
        <f t="shared" ref="M16:M29" si="0">M15+1</f>
        <v>32</v>
      </c>
      <c r="N16" s="151"/>
    </row>
    <row r="17" spans="2:15" ht="18" customHeight="1" x14ac:dyDescent="0.35">
      <c r="B17" s="152">
        <f t="shared" ref="B17:B29" si="1">B16+1</f>
        <v>3</v>
      </c>
      <c r="C17" s="49"/>
      <c r="D17" s="2" t="s">
        <v>64</v>
      </c>
      <c r="E17" s="2"/>
      <c r="F17" s="111"/>
      <c r="G17" s="49"/>
      <c r="H17" s="215" t="e">
        <f>'Service Points'!#REF!</f>
        <v>#REF!</v>
      </c>
      <c r="I17" s="209">
        <f t="shared" ref="I17:K29" si="2">I16+1</f>
        <v>3</v>
      </c>
      <c r="J17" s="215" t="e">
        <f>'Service Points'!#REF!</f>
        <v>#REF!</v>
      </c>
      <c r="K17" s="209">
        <f t="shared" si="2"/>
        <v>18</v>
      </c>
      <c r="L17" s="215" t="e">
        <f>LIBR0183+LIBR0198</f>
        <v>#REF!</v>
      </c>
      <c r="M17" s="209">
        <f t="shared" si="0"/>
        <v>33</v>
      </c>
      <c r="N17" s="151"/>
    </row>
    <row r="18" spans="2:15" ht="18" customHeight="1" x14ac:dyDescent="0.35">
      <c r="B18" s="152">
        <f t="shared" si="1"/>
        <v>4</v>
      </c>
      <c r="C18" s="49"/>
      <c r="D18" s="2" t="s">
        <v>65</v>
      </c>
      <c r="E18" s="2"/>
      <c r="F18" s="111"/>
      <c r="G18" s="49"/>
      <c r="H18" s="215" t="e">
        <f>'Service Points'!#REF!</f>
        <v>#REF!</v>
      </c>
      <c r="I18" s="209">
        <f t="shared" si="2"/>
        <v>4</v>
      </c>
      <c r="J18" s="215" t="e">
        <f>'Service Points'!#REF!</f>
        <v>#REF!</v>
      </c>
      <c r="K18" s="209">
        <f t="shared" si="2"/>
        <v>19</v>
      </c>
      <c r="L18" s="215" t="e">
        <f>LIBR0184+LIBR0199</f>
        <v>#REF!</v>
      </c>
      <c r="M18" s="209">
        <f t="shared" si="0"/>
        <v>34</v>
      </c>
      <c r="N18" s="151"/>
    </row>
    <row r="19" spans="2:15" ht="18" customHeight="1" x14ac:dyDescent="0.35">
      <c r="B19" s="152">
        <f t="shared" si="1"/>
        <v>5</v>
      </c>
      <c r="C19" s="49"/>
      <c r="D19" s="2" t="s">
        <v>66</v>
      </c>
      <c r="E19" s="2"/>
      <c r="F19" s="111"/>
      <c r="G19" s="49"/>
      <c r="H19" s="215" t="e">
        <f>'Service Points'!#REF!</f>
        <v>#REF!</v>
      </c>
      <c r="I19" s="209">
        <f t="shared" si="2"/>
        <v>5</v>
      </c>
      <c r="J19" s="215" t="e">
        <f>'Service Points'!#REF!</f>
        <v>#REF!</v>
      </c>
      <c r="K19" s="209">
        <f t="shared" si="2"/>
        <v>20</v>
      </c>
      <c r="L19" s="215" t="e">
        <f>LIBR0185+LIBR0200</f>
        <v>#REF!</v>
      </c>
      <c r="M19" s="209">
        <f t="shared" si="0"/>
        <v>35</v>
      </c>
      <c r="N19" s="151"/>
    </row>
    <row r="20" spans="2:15" ht="18" customHeight="1" x14ac:dyDescent="0.35">
      <c r="B20" s="152">
        <f t="shared" si="1"/>
        <v>6</v>
      </c>
      <c r="C20" s="49"/>
      <c r="D20" s="2" t="s">
        <v>67</v>
      </c>
      <c r="E20" s="2"/>
      <c r="F20" s="111"/>
      <c r="G20" s="49"/>
      <c r="H20" s="215" t="e">
        <f>'Service Points'!#REF!</f>
        <v>#REF!</v>
      </c>
      <c r="I20" s="209">
        <f t="shared" si="2"/>
        <v>6</v>
      </c>
      <c r="J20" s="215" t="e">
        <f>'Service Points'!#REF!</f>
        <v>#REF!</v>
      </c>
      <c r="K20" s="209">
        <f t="shared" si="2"/>
        <v>21</v>
      </c>
      <c r="L20" s="215" t="e">
        <f>LIBR0186+LIBR0201</f>
        <v>#REF!</v>
      </c>
      <c r="M20" s="209">
        <f t="shared" si="0"/>
        <v>36</v>
      </c>
      <c r="N20" s="151"/>
    </row>
    <row r="21" spans="2:15" ht="18" customHeight="1" x14ac:dyDescent="0.35">
      <c r="B21" s="152">
        <f t="shared" si="1"/>
        <v>7</v>
      </c>
      <c r="C21" s="49"/>
      <c r="D21" s="2" t="s">
        <v>68</v>
      </c>
      <c r="E21" s="2"/>
      <c r="F21" s="111"/>
      <c r="G21" s="49"/>
      <c r="H21" s="215" t="e">
        <f>'Service Points'!#REF!</f>
        <v>#REF!</v>
      </c>
      <c r="I21" s="209">
        <f t="shared" si="2"/>
        <v>7</v>
      </c>
      <c r="J21" s="215" t="e">
        <f>'Service Points'!#REF!</f>
        <v>#REF!</v>
      </c>
      <c r="K21" s="209">
        <f t="shared" si="2"/>
        <v>22</v>
      </c>
      <c r="L21" s="215" t="e">
        <f>LIBR0187+LIBR0202</f>
        <v>#REF!</v>
      </c>
      <c r="M21" s="209">
        <f t="shared" si="0"/>
        <v>37</v>
      </c>
      <c r="N21" s="151"/>
    </row>
    <row r="22" spans="2:15" ht="18" customHeight="1" x14ac:dyDescent="0.35">
      <c r="B22" s="152">
        <f t="shared" si="1"/>
        <v>8</v>
      </c>
      <c r="C22" s="49"/>
      <c r="D22" s="2" t="s">
        <v>69</v>
      </c>
      <c r="E22" s="2"/>
      <c r="F22" s="111"/>
      <c r="G22" s="49"/>
      <c r="H22" s="215" t="e">
        <f>'Service Points'!#REF!</f>
        <v>#REF!</v>
      </c>
      <c r="I22" s="209">
        <f t="shared" si="2"/>
        <v>8</v>
      </c>
      <c r="J22" s="215" t="e">
        <f>'Service Points'!#REF!</f>
        <v>#REF!</v>
      </c>
      <c r="K22" s="209">
        <f t="shared" si="2"/>
        <v>23</v>
      </c>
      <c r="L22" s="215" t="e">
        <f>LIBR0188+LIBR0203</f>
        <v>#REF!</v>
      </c>
      <c r="M22" s="209">
        <f t="shared" si="0"/>
        <v>38</v>
      </c>
      <c r="N22" s="151"/>
    </row>
    <row r="23" spans="2:15" ht="18" customHeight="1" x14ac:dyDescent="0.35">
      <c r="B23" s="152">
        <f t="shared" si="1"/>
        <v>9</v>
      </c>
      <c r="C23" s="49"/>
      <c r="D23" s="2" t="s">
        <v>70</v>
      </c>
      <c r="E23" s="2"/>
      <c r="F23" s="111"/>
      <c r="G23" s="49"/>
      <c r="H23" s="215" t="e">
        <f>'Service Points'!#REF!</f>
        <v>#REF!</v>
      </c>
      <c r="I23" s="209">
        <f t="shared" si="2"/>
        <v>9</v>
      </c>
      <c r="J23" s="215" t="e">
        <f>'Service Points'!#REF!</f>
        <v>#REF!</v>
      </c>
      <c r="K23" s="209">
        <f t="shared" si="2"/>
        <v>24</v>
      </c>
      <c r="L23" s="215" t="e">
        <f>LIBR0189+LIBR0204</f>
        <v>#REF!</v>
      </c>
      <c r="M23" s="209">
        <f t="shared" si="0"/>
        <v>39</v>
      </c>
      <c r="N23" s="151"/>
    </row>
    <row r="24" spans="2:15" ht="18" customHeight="1" x14ac:dyDescent="0.35">
      <c r="B24" s="152">
        <f t="shared" si="1"/>
        <v>10</v>
      </c>
      <c r="C24" s="49"/>
      <c r="D24" s="2" t="s">
        <v>71</v>
      </c>
      <c r="E24" s="2"/>
      <c r="F24" s="111"/>
      <c r="G24" s="49"/>
      <c r="H24" s="215" t="e">
        <f>'Service Points'!#REF!</f>
        <v>#REF!</v>
      </c>
      <c r="I24" s="209">
        <f t="shared" si="2"/>
        <v>10</v>
      </c>
      <c r="J24" s="215" t="e">
        <f>'Service Points'!#REF!</f>
        <v>#REF!</v>
      </c>
      <c r="K24" s="209">
        <f t="shared" si="2"/>
        <v>25</v>
      </c>
      <c r="L24" s="215" t="e">
        <f>LIBR0190+LIBR0205</f>
        <v>#REF!</v>
      </c>
      <c r="M24" s="209">
        <f t="shared" si="0"/>
        <v>40</v>
      </c>
      <c r="N24" s="151"/>
    </row>
    <row r="25" spans="2:15" ht="18" customHeight="1" x14ac:dyDescent="0.35">
      <c r="B25" s="152">
        <f t="shared" si="1"/>
        <v>11</v>
      </c>
      <c r="C25" s="49"/>
      <c r="D25" s="104" t="s">
        <v>72</v>
      </c>
      <c r="E25" s="104"/>
      <c r="F25" s="111"/>
      <c r="G25" s="49"/>
      <c r="H25" s="215" t="e">
        <f>'Service Points'!#REF!</f>
        <v>#REF!</v>
      </c>
      <c r="I25" s="209">
        <f t="shared" si="2"/>
        <v>11</v>
      </c>
      <c r="J25" s="215" t="e">
        <f>'Service Points'!#REF!</f>
        <v>#REF!</v>
      </c>
      <c r="K25" s="209">
        <f t="shared" si="2"/>
        <v>26</v>
      </c>
      <c r="L25" s="215" t="e">
        <f>LIBR0191+LIBR0206</f>
        <v>#REF!</v>
      </c>
      <c r="M25" s="209">
        <f t="shared" si="0"/>
        <v>41</v>
      </c>
      <c r="N25" s="151"/>
    </row>
    <row r="26" spans="2:15" ht="18" customHeight="1" x14ac:dyDescent="0.35">
      <c r="B26" s="152">
        <f t="shared" si="1"/>
        <v>12</v>
      </c>
      <c r="C26" s="2" t="s">
        <v>73</v>
      </c>
      <c r="D26" s="104"/>
      <c r="E26" s="49"/>
      <c r="F26" s="49"/>
      <c r="G26" s="49"/>
      <c r="H26" s="215" t="e">
        <f>'Service Points'!#REF!</f>
        <v>#REF!</v>
      </c>
      <c r="I26" s="209">
        <f t="shared" si="2"/>
        <v>12</v>
      </c>
      <c r="J26" s="215" t="e">
        <f>'Service Points'!#REF!</f>
        <v>#REF!</v>
      </c>
      <c r="K26" s="209">
        <f t="shared" si="2"/>
        <v>27</v>
      </c>
      <c r="L26" s="215" t="e">
        <f>LIBR0192+LIBR0207</f>
        <v>#REF!</v>
      </c>
      <c r="M26" s="209">
        <f t="shared" si="0"/>
        <v>42</v>
      </c>
      <c r="N26" s="151"/>
    </row>
    <row r="27" spans="2:15" ht="18" customHeight="1" x14ac:dyDescent="0.35">
      <c r="B27" s="152">
        <f t="shared" si="1"/>
        <v>13</v>
      </c>
      <c r="C27" s="2" t="s">
        <v>74</v>
      </c>
      <c r="D27" s="104"/>
      <c r="E27" s="49"/>
      <c r="F27" s="49"/>
      <c r="G27" s="213"/>
      <c r="H27" s="215" t="e">
        <f>'Service Points'!#REF!</f>
        <v>#REF!</v>
      </c>
      <c r="I27" s="209">
        <f>I26+1</f>
        <v>13</v>
      </c>
      <c r="J27" s="215" t="e">
        <f>'Service Points'!#REF!</f>
        <v>#REF!</v>
      </c>
      <c r="K27" s="209">
        <f>K26+1</f>
        <v>28</v>
      </c>
      <c r="L27" s="215" t="e">
        <f>LIBR0193+LIBR0208</f>
        <v>#REF!</v>
      </c>
      <c r="M27" s="209">
        <f t="shared" si="0"/>
        <v>43</v>
      </c>
      <c r="N27" s="151"/>
    </row>
    <row r="28" spans="2:15" ht="18" customHeight="1" x14ac:dyDescent="0.35">
      <c r="B28" s="152">
        <f t="shared" si="1"/>
        <v>14</v>
      </c>
      <c r="C28" s="2" t="s">
        <v>75</v>
      </c>
      <c r="D28" s="104"/>
      <c r="E28" s="49"/>
      <c r="F28" s="49"/>
      <c r="G28" s="213"/>
      <c r="H28" s="215" t="e">
        <f>'Service Points'!#REF!</f>
        <v>#REF!</v>
      </c>
      <c r="I28" s="209">
        <f>I27+1</f>
        <v>14</v>
      </c>
      <c r="J28" s="215" t="e">
        <f>'Service Points'!#REF!</f>
        <v>#REF!</v>
      </c>
      <c r="K28" s="209">
        <f>K27+1</f>
        <v>29</v>
      </c>
      <c r="L28" s="215" t="e">
        <f>LIBR0194+LIBR0209</f>
        <v>#REF!</v>
      </c>
      <c r="M28" s="209">
        <f t="shared" si="0"/>
        <v>44</v>
      </c>
      <c r="N28" s="151"/>
    </row>
    <row r="29" spans="2:15" ht="18" customHeight="1" x14ac:dyDescent="0.35">
      <c r="B29" s="152">
        <f t="shared" si="1"/>
        <v>15</v>
      </c>
      <c r="C29" s="20" t="s">
        <v>61</v>
      </c>
      <c r="D29" s="104"/>
      <c r="E29" s="153"/>
      <c r="F29" s="153"/>
      <c r="G29" s="153"/>
      <c r="H29" s="254" t="e">
        <f>SUM(H15:H28)</f>
        <v>#REF!</v>
      </c>
      <c r="I29" s="209">
        <f t="shared" si="2"/>
        <v>15</v>
      </c>
      <c r="J29" s="254" t="e">
        <f>SUM(J15:J28)</f>
        <v>#REF!</v>
      </c>
      <c r="K29" s="209">
        <f t="shared" si="2"/>
        <v>30</v>
      </c>
      <c r="L29" s="254" t="e">
        <f>SUM(L15:L28)</f>
        <v>#REF!</v>
      </c>
      <c r="M29" s="209">
        <f t="shared" si="0"/>
        <v>45</v>
      </c>
      <c r="N29" s="151"/>
    </row>
    <row r="30" spans="2:15" ht="18" customHeight="1" x14ac:dyDescent="0.35">
      <c r="B30" s="152"/>
      <c r="C30" s="20"/>
      <c r="D30" s="104"/>
      <c r="E30" s="153"/>
      <c r="F30" s="153"/>
      <c r="G30" s="153"/>
      <c r="H30" s="153"/>
      <c r="I30" s="153"/>
      <c r="J30" s="153"/>
      <c r="K30" s="153"/>
      <c r="L30" s="153"/>
      <c r="M30" s="209"/>
      <c r="N30" s="151"/>
    </row>
    <row r="31" spans="2:15" ht="18" customHeight="1" x14ac:dyDescent="0.35">
      <c r="B31" s="152"/>
      <c r="C31" s="20"/>
      <c r="D31" s="104"/>
      <c r="E31" s="153"/>
      <c r="F31" s="468" t="e">
        <f>CONCATENATE("Total number of libraries in ",Year-1,"-",Year-2000," (taken from last year's return)")</f>
        <v>#REF!</v>
      </c>
      <c r="G31" s="486"/>
      <c r="H31" s="486"/>
      <c r="I31" s="486"/>
      <c r="J31" s="486"/>
      <c r="K31" s="487"/>
      <c r="L31" s="335" t="e">
        <f>VLOOKUP(FLAS,LY_Data,46,FALSE)</f>
        <v>#REF!</v>
      </c>
      <c r="M31" s="209"/>
      <c r="N31" s="151"/>
    </row>
    <row r="32" spans="2:15" ht="3.75" customHeight="1" x14ac:dyDescent="0.35">
      <c r="B32" s="152"/>
      <c r="C32" s="20"/>
      <c r="D32" s="104"/>
      <c r="E32" s="468" t="e">
        <f>CONCATENATE("Total number of libraries in ",Year-1,"-",Year-2000,", minus Line 18 plus Line 19, minus Line 15")</f>
        <v>#REF!</v>
      </c>
      <c r="F32" s="486"/>
      <c r="G32" s="486"/>
      <c r="H32" s="486"/>
      <c r="I32" s="486"/>
      <c r="J32" s="486"/>
      <c r="K32" s="487"/>
      <c r="L32" s="335" t="e">
        <f>IF(OR(L31="..",LIBR0211="..",LIBR0212=".."),"..",SUM(L31+LIBR0212-LIBR0211)-LIBR0014)</f>
        <v>#REF!</v>
      </c>
      <c r="M32" s="209"/>
      <c r="N32" s="151"/>
      <c r="O32" s="330"/>
    </row>
    <row r="33" spans="2:15" ht="18.75" customHeight="1" x14ac:dyDescent="0.3">
      <c r="B33" s="152"/>
      <c r="C33" s="20"/>
      <c r="D33" s="104"/>
      <c r="E33" s="329"/>
      <c r="F33" s="153"/>
      <c r="G33" s="153"/>
      <c r="H33" s="153"/>
      <c r="I33" s="153"/>
      <c r="J33" s="153"/>
      <c r="K33" s="153"/>
      <c r="L33" s="347"/>
      <c r="M33" s="209"/>
      <c r="N33" s="151"/>
      <c r="O33" s="330"/>
    </row>
    <row r="34" spans="2:15" ht="18.75" customHeight="1" x14ac:dyDescent="0.3">
      <c r="B34" s="152">
        <f>B29+1</f>
        <v>16</v>
      </c>
      <c r="C34" s="2" t="s">
        <v>76</v>
      </c>
      <c r="D34" s="104"/>
      <c r="E34" s="153"/>
      <c r="F34" s="348"/>
      <c r="G34" s="153"/>
      <c r="H34" s="153"/>
      <c r="I34" s="467" t="s">
        <v>77</v>
      </c>
      <c r="J34" s="467"/>
      <c r="K34" s="153"/>
      <c r="L34" s="349" t="str">
        <f>IFERROR(#REF!,"..")</f>
        <v>..</v>
      </c>
      <c r="M34" s="209">
        <f>M29+1</f>
        <v>46</v>
      </c>
      <c r="N34" s="151"/>
      <c r="O34" s="330"/>
    </row>
    <row r="35" spans="2:15" ht="7.5" customHeight="1" x14ac:dyDescent="0.3">
      <c r="B35" s="152">
        <f>B34+1</f>
        <v>17</v>
      </c>
      <c r="C35" s="2" t="s">
        <v>78</v>
      </c>
      <c r="D35" s="104"/>
      <c r="E35" s="332"/>
      <c r="F35" s="348"/>
      <c r="G35" s="153"/>
      <c r="H35" s="153"/>
      <c r="I35" s="467"/>
      <c r="J35" s="467"/>
      <c r="K35" s="153"/>
      <c r="L35" s="349" t="str">
        <f>IFERROR(#REF!,"..")</f>
        <v>..</v>
      </c>
      <c r="M35" s="209">
        <f>M34+1</f>
        <v>47</v>
      </c>
      <c r="N35" s="151"/>
      <c r="O35" s="330"/>
    </row>
    <row r="36" spans="2:15" ht="18.75" customHeight="1" x14ac:dyDescent="0.3">
      <c r="B36" s="152"/>
      <c r="C36" s="452" t="e">
        <f>IF(OR(LIBR0014="..",LIBR0211="..",LIBR0212=".."),"",IF(L32&lt;&gt;0,"The number of service points for this year does not match the number of service points from last year + the number of libraries opened - the number of libraries permanently closed. Please double check your figures and/or add a comment under Line 19.",""))</f>
        <v>#REF!</v>
      </c>
      <c r="D36" s="452"/>
      <c r="E36" s="452"/>
      <c r="F36" s="452"/>
      <c r="G36" s="452"/>
      <c r="H36" s="452"/>
      <c r="I36" s="452"/>
      <c r="J36" s="452"/>
      <c r="K36" s="452"/>
      <c r="L36" s="452"/>
      <c r="M36" s="209"/>
      <c r="N36" s="151"/>
      <c r="O36" s="330"/>
    </row>
    <row r="37" spans="2:15" ht="21" customHeight="1" x14ac:dyDescent="0.3">
      <c r="B37" s="152"/>
      <c r="C37" s="452"/>
      <c r="D37" s="452"/>
      <c r="E37" s="452"/>
      <c r="F37" s="452"/>
      <c r="G37" s="452"/>
      <c r="H37" s="452"/>
      <c r="I37" s="452"/>
      <c r="J37" s="452"/>
      <c r="K37" s="452"/>
      <c r="L37" s="452"/>
      <c r="M37" s="209"/>
      <c r="N37" s="151"/>
      <c r="O37" s="330"/>
    </row>
    <row r="38" spans="2:15" ht="18.75" customHeight="1" x14ac:dyDescent="0.35">
      <c r="B38" s="152"/>
      <c r="C38" s="49"/>
      <c r="D38" s="20"/>
      <c r="E38" s="153"/>
      <c r="F38" s="153"/>
      <c r="G38" s="153"/>
      <c r="H38" s="212"/>
      <c r="I38" s="209"/>
      <c r="J38" s="212"/>
      <c r="K38" s="209"/>
      <c r="L38" s="212"/>
      <c r="M38" s="209"/>
      <c r="N38" s="151"/>
    </row>
    <row r="39" spans="2:15" ht="18.75" customHeight="1" x14ac:dyDescent="0.35">
      <c r="B39" s="150"/>
      <c r="C39" s="49"/>
      <c r="D39" s="20"/>
      <c r="E39" s="153"/>
      <c r="F39" s="153"/>
      <c r="G39" s="153"/>
      <c r="H39" s="43"/>
      <c r="I39" s="43"/>
      <c r="J39" s="2"/>
      <c r="K39" s="2"/>
      <c r="L39" s="71" t="s">
        <v>79</v>
      </c>
      <c r="M39" s="49"/>
      <c r="N39" s="151"/>
    </row>
    <row r="40" spans="2:15" ht="7.5" customHeight="1" x14ac:dyDescent="0.35">
      <c r="B40" s="152">
        <f>B35+1</f>
        <v>18</v>
      </c>
      <c r="C40" s="2" t="e">
        <f>CONCATENATE("Libraries permanently closed during ",Year,"-",Year-1999)</f>
        <v>#REF!</v>
      </c>
      <c r="D40" s="104"/>
      <c r="E40" s="49"/>
      <c r="F40" s="49"/>
      <c r="G40" s="153"/>
      <c r="H40" s="3"/>
      <c r="I40" s="3"/>
      <c r="J40" s="331"/>
      <c r="K40" s="213"/>
      <c r="L40" s="200" t="s">
        <v>6</v>
      </c>
      <c r="M40" s="209">
        <f>M35+1</f>
        <v>48</v>
      </c>
      <c r="N40" s="54"/>
    </row>
    <row r="41" spans="2:15" ht="18" customHeight="1" x14ac:dyDescent="0.35">
      <c r="B41" s="152">
        <f>B40+1</f>
        <v>19</v>
      </c>
      <c r="C41" s="2" t="e">
        <f>CONCATENATE("Libraries opened during ",Year,"-",Year-1999)</f>
        <v>#REF!</v>
      </c>
      <c r="D41" s="104"/>
      <c r="E41" s="49"/>
      <c r="F41" s="49"/>
      <c r="G41" s="153"/>
      <c r="H41" s="3"/>
      <c r="I41" s="3"/>
      <c r="J41" s="331"/>
      <c r="K41" s="213"/>
      <c r="L41" s="200" t="s">
        <v>6</v>
      </c>
      <c r="M41" s="209">
        <f>M40+1</f>
        <v>49</v>
      </c>
      <c r="N41" s="54"/>
    </row>
    <row r="42" spans="2:15" ht="18" customHeight="1" x14ac:dyDescent="0.35">
      <c r="B42" s="152"/>
      <c r="C42" s="49"/>
      <c r="D42" s="20"/>
      <c r="E42" s="153"/>
      <c r="F42" s="153"/>
      <c r="G42" s="153"/>
      <c r="H42" s="212"/>
      <c r="I42" s="209"/>
      <c r="J42" s="212"/>
      <c r="K42" s="209"/>
      <c r="L42" s="212"/>
      <c r="M42" s="209"/>
      <c r="N42" s="151"/>
    </row>
    <row r="43" spans="2:15" ht="18" customHeight="1" x14ac:dyDescent="0.35">
      <c r="B43" s="152"/>
      <c r="C43" s="2" t="s">
        <v>80</v>
      </c>
      <c r="D43" s="2"/>
      <c r="E43" s="2"/>
      <c r="F43" s="2"/>
      <c r="G43" s="2"/>
      <c r="H43" s="2"/>
      <c r="I43" s="2"/>
      <c r="J43" s="2"/>
      <c r="K43" s="2"/>
      <c r="L43" s="2"/>
      <c r="M43" s="209"/>
      <c r="N43" s="151"/>
    </row>
    <row r="44" spans="2:15" ht="6" customHeight="1" x14ac:dyDescent="0.35">
      <c r="B44" s="150"/>
      <c r="C44" s="2" t="s">
        <v>81</v>
      </c>
      <c r="D44" s="2"/>
      <c r="E44" s="2"/>
      <c r="F44" s="2"/>
      <c r="G44" s="2"/>
      <c r="H44" s="2"/>
      <c r="I44" s="2"/>
      <c r="J44" s="2"/>
      <c r="K44" s="2"/>
      <c r="L44" s="2"/>
      <c r="M44" s="209"/>
      <c r="N44" s="151"/>
    </row>
    <row r="45" spans="2:15" ht="18" customHeight="1" x14ac:dyDescent="0.35">
      <c r="B45" s="241"/>
      <c r="C45" s="512" t="s">
        <v>6</v>
      </c>
      <c r="D45" s="513"/>
      <c r="E45" s="513"/>
      <c r="F45" s="513"/>
      <c r="G45" s="513"/>
      <c r="H45" s="513"/>
      <c r="I45" s="513"/>
      <c r="J45" s="513"/>
      <c r="K45" s="513"/>
      <c r="L45" s="514"/>
      <c r="M45" s="1"/>
      <c r="N45" s="155"/>
    </row>
    <row r="46" spans="2:15" ht="12.75" customHeight="1" x14ac:dyDescent="0.35">
      <c r="B46" s="154"/>
      <c r="C46" s="2"/>
      <c r="D46" s="2"/>
      <c r="E46" s="2"/>
      <c r="F46" s="2"/>
      <c r="G46" s="2"/>
      <c r="H46" s="2"/>
      <c r="I46" s="2"/>
      <c r="J46" s="66"/>
      <c r="K46" s="66"/>
      <c r="L46" s="66"/>
      <c r="M46" s="1"/>
      <c r="N46" s="155"/>
    </row>
    <row r="47" spans="2:15" ht="18" customHeight="1" x14ac:dyDescent="0.35">
      <c r="B47" s="152">
        <f>B41+1</f>
        <v>20</v>
      </c>
      <c r="C47" s="2" t="s">
        <v>82</v>
      </c>
      <c r="D47" s="2"/>
      <c r="E47" s="2"/>
      <c r="F47" s="2"/>
      <c r="G47" s="2"/>
      <c r="H47" s="2"/>
      <c r="I47" s="2"/>
      <c r="J47" s="66"/>
      <c r="K47" s="66"/>
      <c r="L47" s="66"/>
      <c r="M47" s="1"/>
      <c r="N47" s="155"/>
    </row>
    <row r="48" spans="2:15" ht="6" customHeight="1" x14ac:dyDescent="0.35">
      <c r="B48" s="152"/>
      <c r="C48" s="512" t="s">
        <v>6</v>
      </c>
      <c r="D48" s="513"/>
      <c r="E48" s="513"/>
      <c r="F48" s="513"/>
      <c r="G48" s="513"/>
      <c r="H48" s="513"/>
      <c r="I48" s="513"/>
      <c r="J48" s="513"/>
      <c r="K48" s="513"/>
      <c r="L48" s="514"/>
      <c r="M48" s="1"/>
      <c r="N48" s="155"/>
    </row>
    <row r="49" spans="2:14" ht="18" customHeight="1" x14ac:dyDescent="0.35">
      <c r="B49" s="154"/>
      <c r="C49" s="2"/>
      <c r="D49" s="2"/>
      <c r="E49" s="2"/>
      <c r="F49" s="2"/>
      <c r="G49" s="2"/>
      <c r="H49" s="2"/>
      <c r="I49" s="2"/>
      <c r="J49" s="66"/>
      <c r="K49" s="66"/>
      <c r="L49" s="66"/>
      <c r="M49" s="1"/>
      <c r="N49" s="155"/>
    </row>
    <row r="50" spans="2:14" ht="18" customHeight="1" x14ac:dyDescent="0.35">
      <c r="B50" s="154"/>
      <c r="C50" s="2" t="e">
        <f>CONCATENATE("Busiest Service Point in ",Year,"-",Year-1999," in terms of issues per annum:")</f>
        <v>#REF!</v>
      </c>
      <c r="D50" s="2"/>
      <c r="E50" s="2"/>
      <c r="F50" s="2"/>
      <c r="G50" s="2"/>
      <c r="H50" s="2"/>
      <c r="I50" s="2"/>
      <c r="J50" s="66"/>
      <c r="K50" s="66"/>
      <c r="L50" s="66"/>
      <c r="M50" s="1"/>
      <c r="N50" s="155"/>
    </row>
    <row r="51" spans="2:14" ht="6" customHeight="1" x14ac:dyDescent="0.35">
      <c r="B51" s="152">
        <f>B47+1</f>
        <v>21</v>
      </c>
      <c r="C51" s="2" t="s">
        <v>83</v>
      </c>
      <c r="D51" s="17"/>
      <c r="E51" s="509" t="s">
        <v>391</v>
      </c>
      <c r="F51" s="510"/>
      <c r="G51" s="511"/>
      <c r="H51" s="251">
        <f>M41+1</f>
        <v>50</v>
      </c>
      <c r="I51" s="3" t="s">
        <v>84</v>
      </c>
      <c r="J51" s="2"/>
      <c r="K51" s="32"/>
      <c r="L51" s="200">
        <v>149181</v>
      </c>
      <c r="M51" s="209">
        <f>H51+1</f>
        <v>51</v>
      </c>
      <c r="N51" s="155"/>
    </row>
    <row r="52" spans="2:14" ht="18" customHeight="1" x14ac:dyDescent="0.35">
      <c r="B52" s="154"/>
      <c r="C52" s="2"/>
      <c r="D52" s="2"/>
      <c r="E52" s="2"/>
      <c r="F52" s="2"/>
      <c r="G52" s="2"/>
      <c r="H52" s="2"/>
      <c r="I52" s="2"/>
      <c r="J52" s="66"/>
      <c r="K52" s="66"/>
      <c r="L52" s="66"/>
      <c r="M52" s="1"/>
      <c r="N52" s="155"/>
    </row>
    <row r="53" spans="2:14" ht="18" customHeight="1" x14ac:dyDescent="0.35">
      <c r="B53" s="152"/>
      <c r="C53" s="2" t="e">
        <f>CONCATENATE("Busiest Service Point in ",Year,"-",Year-1999," in terms of visits per annum:")</f>
        <v>#REF!</v>
      </c>
      <c r="D53" s="67"/>
      <c r="E53" s="2"/>
      <c r="F53" s="18"/>
      <c r="G53" s="18"/>
      <c r="H53" s="18"/>
      <c r="I53" s="3"/>
      <c r="J53" s="2"/>
      <c r="K53" s="2"/>
      <c r="L53" s="19"/>
      <c r="M53" s="106"/>
      <c r="N53" s="155"/>
    </row>
    <row r="54" spans="2:14" ht="6" customHeight="1" x14ac:dyDescent="0.35">
      <c r="B54" s="152">
        <f>B51+1</f>
        <v>22</v>
      </c>
      <c r="C54" s="2" t="s">
        <v>83</v>
      </c>
      <c r="D54" s="67"/>
      <c r="E54" s="509" t="s">
        <v>391</v>
      </c>
      <c r="F54" s="510"/>
      <c r="G54" s="511"/>
      <c r="H54" s="251">
        <f>M51+1</f>
        <v>52</v>
      </c>
      <c r="I54" s="3" t="s">
        <v>85</v>
      </c>
      <c r="J54" s="2"/>
      <c r="K54" s="32"/>
      <c r="L54" s="200">
        <v>247966</v>
      </c>
      <c r="M54" s="209">
        <f>H54+1</f>
        <v>53</v>
      </c>
      <c r="N54" s="155"/>
    </row>
    <row r="55" spans="2:14" ht="18" customHeight="1" x14ac:dyDescent="0.35">
      <c r="B55" s="150"/>
      <c r="C55" s="65"/>
      <c r="D55" s="65"/>
      <c r="E55" s="65"/>
      <c r="F55" s="67"/>
      <c r="G55" s="65"/>
      <c r="H55" s="65"/>
      <c r="I55" s="65"/>
      <c r="J55" s="65"/>
      <c r="K55" s="65"/>
      <c r="L55" s="68"/>
      <c r="M55" s="12"/>
      <c r="N55" s="151"/>
    </row>
    <row r="56" spans="2:14" ht="18" customHeight="1" x14ac:dyDescent="0.35">
      <c r="B56" s="152">
        <f>B54+1</f>
        <v>23</v>
      </c>
      <c r="C56" s="3" t="s">
        <v>86</v>
      </c>
      <c r="D56" s="65"/>
      <c r="E56" s="65"/>
      <c r="F56" s="67"/>
      <c r="G56" s="65"/>
      <c r="H56" s="65"/>
      <c r="I56" s="65"/>
      <c r="J56" s="65"/>
      <c r="K56" s="65"/>
      <c r="L56" s="68"/>
      <c r="M56" s="12"/>
      <c r="N56" s="151"/>
    </row>
    <row r="57" spans="2:14" ht="13.75" customHeight="1" x14ac:dyDescent="0.35">
      <c r="B57" s="150"/>
      <c r="C57" s="518" t="s">
        <v>400</v>
      </c>
      <c r="D57" s="519"/>
      <c r="E57" s="519"/>
      <c r="F57" s="519"/>
      <c r="G57" s="519"/>
      <c r="H57" s="519"/>
      <c r="I57" s="519"/>
      <c r="J57" s="519"/>
      <c r="K57" s="519"/>
      <c r="L57" s="520"/>
      <c r="M57" s="12"/>
      <c r="N57" s="151"/>
    </row>
    <row r="58" spans="2:14" ht="18" customHeight="1" x14ac:dyDescent="0.35">
      <c r="B58" s="150"/>
      <c r="C58" s="521"/>
      <c r="D58" s="522"/>
      <c r="E58" s="522"/>
      <c r="F58" s="522"/>
      <c r="G58" s="522"/>
      <c r="H58" s="522"/>
      <c r="I58" s="522"/>
      <c r="J58" s="522"/>
      <c r="K58" s="522"/>
      <c r="L58" s="523"/>
      <c r="M58" s="12"/>
      <c r="N58" s="151"/>
    </row>
    <row r="59" spans="2:14" ht="13.75" customHeight="1" x14ac:dyDescent="0.35">
      <c r="B59" s="150"/>
      <c r="C59" s="524"/>
      <c r="D59" s="525"/>
      <c r="E59" s="525"/>
      <c r="F59" s="525"/>
      <c r="G59" s="525"/>
      <c r="H59" s="525"/>
      <c r="I59" s="525"/>
      <c r="J59" s="525"/>
      <c r="K59" s="525"/>
      <c r="L59" s="526"/>
      <c r="M59" s="12"/>
      <c r="N59" s="151"/>
    </row>
    <row r="60" spans="2:14" ht="13.75" customHeight="1" x14ac:dyDescent="0.35">
      <c r="B60" s="150"/>
      <c r="C60" s="65"/>
      <c r="D60" s="65"/>
      <c r="E60" s="65"/>
      <c r="F60" s="67"/>
      <c r="G60" s="65"/>
      <c r="H60" s="65"/>
      <c r="I60" s="65"/>
      <c r="J60" s="65"/>
      <c r="K60" s="65"/>
      <c r="L60" s="68"/>
      <c r="M60" s="12"/>
      <c r="N60" s="151"/>
    </row>
    <row r="61" spans="2:14" ht="13.75" customHeight="1" x14ac:dyDescent="0.35">
      <c r="B61" s="154"/>
      <c r="C61" s="41"/>
      <c r="D61" s="66"/>
      <c r="E61" s="66"/>
      <c r="F61" s="66"/>
      <c r="G61" s="66"/>
      <c r="H61" s="66"/>
      <c r="I61" s="66"/>
      <c r="J61" s="66"/>
      <c r="K61" s="66"/>
      <c r="L61" s="529" t="s">
        <v>87</v>
      </c>
      <c r="M61" s="55"/>
      <c r="N61" s="155"/>
    </row>
    <row r="62" spans="2:14" ht="6" customHeight="1" x14ac:dyDescent="0.35">
      <c r="B62" s="52"/>
      <c r="C62" s="41" t="s">
        <v>88</v>
      </c>
      <c r="D62" s="53"/>
      <c r="E62" s="53"/>
      <c r="F62" s="53"/>
      <c r="G62" s="53"/>
      <c r="H62" s="53"/>
      <c r="I62" s="55"/>
      <c r="J62" s="69"/>
      <c r="K62" s="69"/>
      <c r="L62" s="529"/>
      <c r="M62" s="55"/>
      <c r="N62" s="54"/>
    </row>
    <row r="63" spans="2:14" ht="18" customHeight="1" x14ac:dyDescent="0.35">
      <c r="B63" s="52"/>
      <c r="C63" s="245" t="s">
        <v>89</v>
      </c>
      <c r="D63" s="53"/>
      <c r="E63" s="53"/>
      <c r="F63" s="53"/>
      <c r="G63" s="53"/>
      <c r="H63" s="70"/>
      <c r="I63" s="70"/>
      <c r="J63" s="70"/>
      <c r="K63" s="70"/>
      <c r="L63" s="529"/>
      <c r="M63" s="55"/>
      <c r="N63" s="54"/>
    </row>
    <row r="64" spans="2:14" ht="18" customHeight="1" x14ac:dyDescent="0.35">
      <c r="B64" s="152">
        <f>B56+1</f>
        <v>24</v>
      </c>
      <c r="C64" s="3" t="e">
        <f>CONCATENATE("Number of devices with libraries catalogue, internet access and OPACs at 31 March ",Year+1)</f>
        <v>#REF!</v>
      </c>
      <c r="D64" s="3"/>
      <c r="E64" s="3"/>
      <c r="F64" s="3"/>
      <c r="G64" s="3"/>
      <c r="H64" s="3"/>
      <c r="I64" s="3"/>
      <c r="J64" s="111"/>
      <c r="K64" s="111"/>
      <c r="L64" s="201">
        <v>175</v>
      </c>
      <c r="M64" s="209">
        <f>M54+1</f>
        <v>54</v>
      </c>
      <c r="N64" s="54"/>
    </row>
    <row r="65" spans="1:15" ht="18" customHeight="1" x14ac:dyDescent="0.35">
      <c r="B65" s="152">
        <f>B64+1</f>
        <v>25</v>
      </c>
      <c r="C65" s="3" t="e">
        <f>CONCATENATE("Number of hours available for use of and access to the internet from 1 April ",Year," to 31 March ",Year+1)</f>
        <v>#REF!</v>
      </c>
      <c r="D65" s="3"/>
      <c r="E65" s="3"/>
      <c r="F65" s="3"/>
      <c r="G65" s="3"/>
      <c r="H65" s="3"/>
      <c r="I65" s="3"/>
      <c r="J65" s="111"/>
      <c r="K65" s="111"/>
      <c r="L65" s="200" t="s">
        <v>6</v>
      </c>
      <c r="M65" s="209">
        <f>M64+1</f>
        <v>55</v>
      </c>
      <c r="N65" s="54"/>
    </row>
    <row r="66" spans="1:15" ht="18" customHeight="1" x14ac:dyDescent="0.35">
      <c r="B66" s="152">
        <f>B65+1</f>
        <v>26</v>
      </c>
      <c r="C66" s="3" t="e">
        <f>CONCATENATE("Number of hours recorded for use of and access to the internet from 1 April ",Year," to 31 March ",Year+1)</f>
        <v>#REF!</v>
      </c>
      <c r="D66" s="3"/>
      <c r="E66" s="3"/>
      <c r="F66" s="3"/>
      <c r="G66" s="3"/>
      <c r="H66" s="3"/>
      <c r="I66" s="3"/>
      <c r="J66" s="3"/>
      <c r="K66" s="3"/>
      <c r="L66" s="202">
        <v>39225</v>
      </c>
      <c r="M66" s="209">
        <f>M65+1</f>
        <v>56</v>
      </c>
      <c r="N66" s="54"/>
    </row>
    <row r="67" spans="1:15" ht="18" customHeight="1" x14ac:dyDescent="0.35">
      <c r="B67" s="52"/>
      <c r="C67" s="483" t="s">
        <v>90</v>
      </c>
      <c r="D67" s="484"/>
      <c r="E67" s="484"/>
      <c r="F67" s="484"/>
      <c r="G67" s="484"/>
      <c r="H67" s="484"/>
      <c r="I67" s="484"/>
      <c r="J67" s="484"/>
      <c r="K67" s="484"/>
      <c r="L67" s="484"/>
      <c r="M67" s="55"/>
      <c r="N67" s="54"/>
    </row>
    <row r="68" spans="1:15" ht="18" customHeight="1" x14ac:dyDescent="0.35">
      <c r="B68" s="52"/>
      <c r="C68" s="41" t="s">
        <v>91</v>
      </c>
      <c r="D68" s="41"/>
      <c r="E68" s="41"/>
      <c r="F68" s="41"/>
      <c r="G68" s="41"/>
      <c r="H68" s="41"/>
      <c r="I68" s="41"/>
      <c r="J68" s="41"/>
      <c r="K68" s="41"/>
      <c r="L68" s="41"/>
      <c r="M68" s="55"/>
      <c r="N68" s="54"/>
    </row>
    <row r="69" spans="1:15" ht="21" customHeight="1" x14ac:dyDescent="0.35">
      <c r="B69" s="152">
        <f>B66+1</f>
        <v>27</v>
      </c>
      <c r="C69" s="3" t="e">
        <f>CONCATENATE("Number of Service Points that have a public access Wi-Fi network available as at 31 March ",Year+1)</f>
        <v>#REF!</v>
      </c>
      <c r="D69" s="44"/>
      <c r="E69" s="44"/>
      <c r="F69" s="44"/>
      <c r="G69" s="44"/>
      <c r="H69" s="44"/>
      <c r="I69" s="44"/>
      <c r="J69" s="44"/>
      <c r="K69" s="44"/>
      <c r="L69" s="200">
        <v>26</v>
      </c>
      <c r="M69" s="209">
        <f>M66+1</f>
        <v>57</v>
      </c>
      <c r="N69" s="54"/>
    </row>
    <row r="70" spans="1:15" ht="18" customHeight="1" x14ac:dyDescent="0.35">
      <c r="B70" s="152">
        <f>B69+1</f>
        <v>28</v>
      </c>
      <c r="C70" s="3" t="e">
        <f>CONCATENATE("Number of hours of recorded usage of public access Wi-Fi as at 31 March ",Year+1)</f>
        <v>#REF!</v>
      </c>
      <c r="D70" s="44"/>
      <c r="E70" s="44"/>
      <c r="F70" s="44"/>
      <c r="G70" s="44"/>
      <c r="H70" s="44"/>
      <c r="I70" s="344"/>
      <c r="J70" s="345"/>
      <c r="K70" s="44"/>
      <c r="L70" s="200" t="s">
        <v>6</v>
      </c>
      <c r="M70" s="209">
        <f>M69+1</f>
        <v>58</v>
      </c>
      <c r="N70" s="54"/>
    </row>
    <row r="71" spans="1:15" ht="18" customHeight="1" thickBot="1" x14ac:dyDescent="0.4">
      <c r="B71" s="61"/>
      <c r="C71" s="156"/>
      <c r="D71" s="156"/>
      <c r="E71" s="156"/>
      <c r="F71" s="156"/>
      <c r="G71" s="156"/>
      <c r="H71" s="156"/>
      <c r="I71" s="156"/>
      <c r="J71" s="156"/>
      <c r="K71" s="156"/>
      <c r="L71" s="156"/>
      <c r="M71" s="157"/>
      <c r="N71" s="158"/>
    </row>
    <row r="72" spans="1:15" ht="18" customHeight="1" thickBot="1" x14ac:dyDescent="0.4">
      <c r="B72" s="505" t="s">
        <v>92</v>
      </c>
      <c r="C72" s="506"/>
      <c r="D72" s="506"/>
      <c r="E72" s="506"/>
      <c r="F72" s="506"/>
      <c r="G72" s="506"/>
      <c r="H72" s="506"/>
      <c r="I72" s="506"/>
      <c r="J72" s="506"/>
      <c r="K72" s="506"/>
      <c r="L72" s="503" t="s">
        <v>93</v>
      </c>
      <c r="M72" s="503"/>
      <c r="N72" s="504"/>
    </row>
    <row r="73" spans="1:15" ht="9.75" customHeight="1" x14ac:dyDescent="0.35">
      <c r="B73" s="498"/>
      <c r="C73" s="499"/>
      <c r="D73" s="499"/>
      <c r="E73" s="499"/>
      <c r="F73" s="499"/>
      <c r="G73" s="499"/>
      <c r="H73" s="499"/>
      <c r="I73" s="499"/>
      <c r="J73" s="499"/>
      <c r="K73" s="499"/>
      <c r="L73" s="499"/>
      <c r="M73" s="499"/>
      <c r="N73" s="500"/>
    </row>
    <row r="74" spans="1:15" ht="18" customHeight="1" x14ac:dyDescent="0.3">
      <c r="A74" s="94"/>
      <c r="B74" s="154"/>
      <c r="C74" s="72"/>
      <c r="D74" s="66"/>
      <c r="E74" s="66"/>
      <c r="F74" s="66"/>
      <c r="G74" s="66"/>
      <c r="H74" s="66"/>
      <c r="I74" s="66"/>
      <c r="J74" s="66"/>
      <c r="K74" s="66"/>
      <c r="L74" s="71" t="s">
        <v>94</v>
      </c>
      <c r="M74" s="13"/>
      <c r="N74" s="155"/>
      <c r="O74" s="94"/>
    </row>
    <row r="75" spans="1:15" ht="18" customHeight="1" x14ac:dyDescent="0.3">
      <c r="A75" s="94"/>
      <c r="B75" s="152">
        <f>B70+1</f>
        <v>29</v>
      </c>
      <c r="C75" s="20" t="e">
        <f>CONCATENATE("Total Book Stock at 1 April ",Year)</f>
        <v>#REF!</v>
      </c>
      <c r="D75" s="2"/>
      <c r="E75" s="2"/>
      <c r="F75" s="2"/>
      <c r="G75" s="527" t="s">
        <v>95</v>
      </c>
      <c r="H75" s="527"/>
      <c r="I75" s="527"/>
      <c r="J75" s="527"/>
      <c r="K75" s="527"/>
      <c r="L75" s="214">
        <v>1230930</v>
      </c>
      <c r="M75" s="209">
        <f>M70+1</f>
        <v>59</v>
      </c>
      <c r="N75" s="155"/>
      <c r="O75" s="94"/>
    </row>
    <row r="76" spans="1:15" s="94" customFormat="1" ht="18" customHeight="1" x14ac:dyDescent="0.35">
      <c r="B76" s="152"/>
      <c r="C76" s="72"/>
      <c r="D76" s="2"/>
      <c r="E76" s="2"/>
      <c r="F76" s="2"/>
      <c r="G76" s="527"/>
      <c r="H76" s="527"/>
      <c r="I76" s="527"/>
      <c r="J76" s="527"/>
      <c r="K76" s="527"/>
      <c r="L76" s="66"/>
      <c r="M76" s="106"/>
      <c r="N76" s="155"/>
    </row>
    <row r="77" spans="1:15" s="94" customFormat="1" ht="18" customHeight="1" x14ac:dyDescent="0.35">
      <c r="B77" s="152"/>
      <c r="C77" s="41" t="e">
        <f>CONCATENATE("Book Stock at 31 March ",Year+1)</f>
        <v>#REF!</v>
      </c>
      <c r="D77" s="2"/>
      <c r="E77" s="2"/>
      <c r="F77" s="2"/>
      <c r="G77" s="2"/>
      <c r="H77" s="2"/>
      <c r="I77" s="66"/>
      <c r="J77" s="66"/>
      <c r="K77" s="66"/>
      <c r="L77" s="71" t="s">
        <v>94</v>
      </c>
      <c r="M77" s="106"/>
      <c r="N77" s="155"/>
    </row>
    <row r="78" spans="1:15" s="94" customFormat="1" ht="18" customHeight="1" x14ac:dyDescent="0.35">
      <c r="B78" s="152">
        <f>B75+1</f>
        <v>30</v>
      </c>
      <c r="C78" s="2" t="s">
        <v>96</v>
      </c>
      <c r="D78" s="2"/>
      <c r="E78" s="2"/>
      <c r="F78" s="2"/>
      <c r="G78" s="2"/>
      <c r="H78" s="2"/>
      <c r="I78" s="74"/>
      <c r="J78" s="74"/>
      <c r="K78" s="74"/>
      <c r="L78" s="203">
        <v>312487</v>
      </c>
      <c r="M78" s="209">
        <f>M75+1</f>
        <v>60</v>
      </c>
      <c r="N78" s="155"/>
    </row>
    <row r="79" spans="1:15" s="94" customFormat="1" ht="18" customHeight="1" x14ac:dyDescent="0.35">
      <c r="B79" s="152"/>
      <c r="C79" s="2" t="s">
        <v>97</v>
      </c>
      <c r="D79" s="2"/>
      <c r="E79" s="2"/>
      <c r="F79" s="2"/>
      <c r="G79" s="2"/>
      <c r="H79" s="2"/>
      <c r="I79" s="66"/>
      <c r="J79" s="75"/>
      <c r="K79" s="75"/>
      <c r="L79" s="66"/>
      <c r="M79" s="106"/>
      <c r="N79" s="155"/>
    </row>
    <row r="80" spans="1:15" s="94" customFormat="1" ht="18" customHeight="1" x14ac:dyDescent="0.35">
      <c r="B80" s="152">
        <f>B78+1</f>
        <v>31</v>
      </c>
      <c r="C80" s="66"/>
      <c r="D80" s="2"/>
      <c r="E80" s="2"/>
      <c r="F80" s="2"/>
      <c r="G80" s="2" t="s">
        <v>98</v>
      </c>
      <c r="H80" s="2"/>
      <c r="I80" s="66"/>
      <c r="J80" s="66"/>
      <c r="K80" s="66"/>
      <c r="L80" s="203">
        <v>203397</v>
      </c>
      <c r="M80" s="209">
        <f>M78+1</f>
        <v>61</v>
      </c>
      <c r="N80" s="155"/>
    </row>
    <row r="81" spans="1:15" s="94" customFormat="1" ht="18" customHeight="1" x14ac:dyDescent="0.35">
      <c r="B81" s="152">
        <f>B80+1</f>
        <v>32</v>
      </c>
      <c r="C81" s="66"/>
      <c r="D81" s="2"/>
      <c r="E81" s="2"/>
      <c r="F81" s="2"/>
      <c r="G81" s="2" t="s">
        <v>99</v>
      </c>
      <c r="H81" s="2"/>
      <c r="I81" s="66"/>
      <c r="J81" s="66"/>
      <c r="K81" s="66"/>
      <c r="L81" s="203">
        <v>220068</v>
      </c>
      <c r="M81" s="209">
        <f>M80+1</f>
        <v>62</v>
      </c>
      <c r="N81" s="155"/>
    </row>
    <row r="82" spans="1:15" s="94" customFormat="1" ht="18" customHeight="1" x14ac:dyDescent="0.35">
      <c r="B82" s="152">
        <f>B81+1</f>
        <v>33</v>
      </c>
      <c r="C82" s="66"/>
      <c r="D82" s="2"/>
      <c r="E82" s="2"/>
      <c r="F82" s="2"/>
      <c r="G82" s="2" t="s">
        <v>100</v>
      </c>
      <c r="H82" s="2"/>
      <c r="I82" s="66"/>
      <c r="J82" s="66"/>
      <c r="K82" s="66"/>
      <c r="L82" s="203">
        <v>186776</v>
      </c>
      <c r="M82" s="209">
        <f>M81+1</f>
        <v>63</v>
      </c>
      <c r="N82" s="155"/>
    </row>
    <row r="83" spans="1:15" s="94" customFormat="1" ht="18" customHeight="1" x14ac:dyDescent="0.35">
      <c r="B83" s="152">
        <f>B82+1</f>
        <v>34</v>
      </c>
      <c r="C83" s="66"/>
      <c r="D83" s="2"/>
      <c r="E83" s="2"/>
      <c r="F83" s="2"/>
      <c r="G83" s="2" t="s">
        <v>101</v>
      </c>
      <c r="H83" s="2"/>
      <c r="I83" s="66"/>
      <c r="J83" s="66"/>
      <c r="K83" s="66"/>
      <c r="L83" s="203">
        <v>54158</v>
      </c>
      <c r="M83" s="209">
        <f>M82+1</f>
        <v>64</v>
      </c>
      <c r="N83" s="155"/>
    </row>
    <row r="84" spans="1:15" s="94" customFormat="1" ht="18" customHeight="1" x14ac:dyDescent="0.35">
      <c r="B84" s="152">
        <f>B83+1</f>
        <v>35</v>
      </c>
      <c r="C84" s="20" t="s">
        <v>102</v>
      </c>
      <c r="D84" s="2"/>
      <c r="E84" s="2"/>
      <c r="F84" s="2"/>
      <c r="G84" s="2"/>
      <c r="H84" s="2"/>
      <c r="I84" s="66"/>
      <c r="J84" s="77" t="str">
        <f>CONCATENATE("(Sum of Lines ",B80," to ",B83,")")</f>
        <v>(Sum of Lines 31 to 34)</v>
      </c>
      <c r="K84" s="11"/>
      <c r="L84" s="247">
        <v>664399</v>
      </c>
      <c r="M84" s="209">
        <f>M83+1</f>
        <v>65</v>
      </c>
      <c r="N84" s="155"/>
    </row>
    <row r="85" spans="1:15" s="94" customFormat="1" ht="18" customHeight="1" x14ac:dyDescent="0.35">
      <c r="A85" s="50"/>
      <c r="B85" s="152"/>
      <c r="C85" s="53"/>
      <c r="D85" s="2"/>
      <c r="E85" s="2"/>
      <c r="F85" s="2"/>
      <c r="G85" s="2"/>
      <c r="H85" s="2"/>
      <c r="I85" s="53"/>
      <c r="J85" s="53"/>
      <c r="K85" s="53"/>
      <c r="L85" s="53"/>
      <c r="M85" s="209"/>
      <c r="N85" s="151"/>
      <c r="O85"/>
    </row>
    <row r="86" spans="1:15" s="94" customFormat="1" ht="18" customHeight="1" x14ac:dyDescent="0.35">
      <c r="B86" s="152">
        <f>B84+1</f>
        <v>36</v>
      </c>
      <c r="C86" s="2" t="s">
        <v>103</v>
      </c>
      <c r="D86" s="2"/>
      <c r="E86" s="2"/>
      <c r="F86" s="2"/>
      <c r="G86" s="2"/>
      <c r="H86" s="2"/>
      <c r="I86" s="66"/>
      <c r="J86" s="66"/>
      <c r="K86" s="66"/>
      <c r="L86" s="203">
        <v>269137</v>
      </c>
      <c r="M86" s="209">
        <f>M84+1</f>
        <v>66</v>
      </c>
      <c r="N86" s="155"/>
    </row>
    <row r="87" spans="1:15" ht="18" customHeight="1" x14ac:dyDescent="0.3">
      <c r="A87" s="94"/>
      <c r="B87" s="152"/>
      <c r="C87" s="2"/>
      <c r="D87" s="2"/>
      <c r="E87" s="2"/>
      <c r="F87" s="2"/>
      <c r="G87" s="2"/>
      <c r="H87" s="2"/>
      <c r="I87" s="66"/>
      <c r="J87" s="66"/>
      <c r="K87" s="66"/>
      <c r="L87" s="66"/>
      <c r="M87" s="209"/>
      <c r="N87" s="155"/>
      <c r="O87" s="94"/>
    </row>
    <row r="88" spans="1:15" s="94" customFormat="1" ht="18" customHeight="1" x14ac:dyDescent="0.35">
      <c r="B88" s="152">
        <f>B86+1</f>
        <v>37</v>
      </c>
      <c r="C88" s="20" t="e">
        <f>CONCATENATE("Total Book Stock at 31 March ",Year+1)</f>
        <v>#REF!</v>
      </c>
      <c r="D88" s="2"/>
      <c r="E88" s="2"/>
      <c r="F88" s="2"/>
      <c r="G88" s="2"/>
      <c r="H88" s="2"/>
      <c r="I88" s="66"/>
      <c r="J88" s="77" t="str">
        <f>CONCATENATE("(Sum of Lines ",B78,", ",B84," and ",B86,")")</f>
        <v>(Sum of Lines 30, 35 and 36)</v>
      </c>
      <c r="K88" s="11"/>
      <c r="L88" s="247">
        <v>1246023</v>
      </c>
      <c r="M88" s="209">
        <f>M86+1</f>
        <v>67</v>
      </c>
      <c r="N88" s="155"/>
    </row>
    <row r="89" spans="1:15" s="94" customFormat="1" ht="18" customHeight="1" x14ac:dyDescent="0.35">
      <c r="B89" s="152"/>
      <c r="C89" s="515" t="str">
        <f>IF(OR(LIBR0023="..",LIBR0031=".."),"",IF(OR((LIBR0031/LIBR0023&gt;1.25),(LIBR0031/LIBR0023&lt;0.75)),"The Total Book Stock figure entered differs from last year by more than 25%. Could you please double check your figure, or provide a valid reason for the difference in 'Other Comments' under Section 15.",""))</f>
        <v/>
      </c>
      <c r="D89" s="515"/>
      <c r="E89" s="515"/>
      <c r="F89" s="515"/>
      <c r="G89" s="515"/>
      <c r="H89" s="515"/>
      <c r="I89" s="515"/>
      <c r="J89" s="515"/>
      <c r="K89" s="515"/>
      <c r="L89" s="515"/>
      <c r="M89" s="209"/>
      <c r="N89" s="155"/>
    </row>
    <row r="90" spans="1:15" s="94" customFormat="1" ht="18" customHeight="1" x14ac:dyDescent="0.35">
      <c r="B90" s="152"/>
      <c r="C90" s="515"/>
      <c r="D90" s="515"/>
      <c r="E90" s="515"/>
      <c r="F90" s="515"/>
      <c r="G90" s="515"/>
      <c r="H90" s="515"/>
      <c r="I90" s="515"/>
      <c r="J90" s="515"/>
      <c r="K90" s="515"/>
      <c r="L90" s="515"/>
      <c r="M90" s="209"/>
      <c r="N90" s="155"/>
    </row>
    <row r="91" spans="1:15" s="94" customFormat="1" ht="18" customHeight="1" x14ac:dyDescent="0.35">
      <c r="B91" s="152"/>
      <c r="C91" s="2"/>
      <c r="D91" s="2"/>
      <c r="E91" s="2"/>
      <c r="F91" s="2"/>
      <c r="G91" s="2"/>
      <c r="H91" s="2"/>
      <c r="I91" s="66"/>
      <c r="J91" s="77"/>
      <c r="K91" s="77"/>
      <c r="L91" s="4"/>
      <c r="M91" s="209"/>
      <c r="N91" s="155"/>
    </row>
    <row r="92" spans="1:15" s="94" customFormat="1" ht="18" customHeight="1" x14ac:dyDescent="0.35">
      <c r="B92" s="152"/>
      <c r="C92" s="41" t="s">
        <v>104</v>
      </c>
      <c r="D92" s="2"/>
      <c r="E92" s="2"/>
      <c r="F92" s="2"/>
      <c r="G92" s="2"/>
      <c r="H92" s="2"/>
      <c r="I92" s="66"/>
      <c r="J92" s="66"/>
      <c r="K92" s="66"/>
      <c r="L92" s="71" t="s">
        <v>94</v>
      </c>
      <c r="M92" s="209"/>
      <c r="N92" s="155"/>
    </row>
    <row r="93" spans="1:15" s="94" customFormat="1" ht="18" customHeight="1" x14ac:dyDescent="0.35">
      <c r="B93" s="152">
        <f>B88+1</f>
        <v>38</v>
      </c>
      <c r="C93" s="2" t="s">
        <v>96</v>
      </c>
      <c r="D93" s="2"/>
      <c r="E93" s="2"/>
      <c r="F93" s="2"/>
      <c r="G93" s="2"/>
      <c r="H93" s="2"/>
      <c r="I93" s="66"/>
      <c r="J93" s="66"/>
      <c r="K93" s="66"/>
      <c r="L93" s="203">
        <v>171</v>
      </c>
      <c r="M93" s="209">
        <f>M88+1</f>
        <v>68</v>
      </c>
      <c r="N93" s="155"/>
    </row>
    <row r="94" spans="1:15" s="94" customFormat="1" ht="18" customHeight="1" x14ac:dyDescent="0.35">
      <c r="B94" s="152"/>
      <c r="C94" s="2" t="s">
        <v>105</v>
      </c>
      <c r="D94" s="2"/>
      <c r="E94" s="2"/>
      <c r="F94" s="2"/>
      <c r="G94" s="2"/>
      <c r="H94" s="2"/>
      <c r="I94" s="66"/>
      <c r="J94" s="66"/>
      <c r="K94" s="66"/>
      <c r="L94" s="66"/>
      <c r="M94" s="209"/>
      <c r="N94" s="155"/>
    </row>
    <row r="95" spans="1:15" s="94" customFormat="1" ht="18" customHeight="1" x14ac:dyDescent="0.35">
      <c r="B95" s="152">
        <f>B93+1</f>
        <v>39</v>
      </c>
      <c r="C95" s="2"/>
      <c r="D95" s="2"/>
      <c r="E95" s="2"/>
      <c r="F95" s="2"/>
      <c r="G95" s="2" t="s">
        <v>98</v>
      </c>
      <c r="H95" s="2"/>
      <c r="I95" s="66"/>
      <c r="J95" s="66"/>
      <c r="K95" s="66"/>
      <c r="L95" s="203">
        <v>16162</v>
      </c>
      <c r="M95" s="209">
        <f>M93+1</f>
        <v>69</v>
      </c>
      <c r="N95" s="155"/>
    </row>
    <row r="96" spans="1:15" s="94" customFormat="1" ht="18" customHeight="1" x14ac:dyDescent="0.35">
      <c r="B96" s="152">
        <f>B95+1</f>
        <v>40</v>
      </c>
      <c r="C96" s="2"/>
      <c r="D96" s="2"/>
      <c r="E96" s="2"/>
      <c r="F96" s="2"/>
      <c r="G96" s="2" t="s">
        <v>99</v>
      </c>
      <c r="H96" s="2"/>
      <c r="I96" s="66"/>
      <c r="J96" s="66"/>
      <c r="K96" s="66"/>
      <c r="L96" s="203">
        <v>9445</v>
      </c>
      <c r="M96" s="209">
        <f>M95+1</f>
        <v>70</v>
      </c>
      <c r="N96" s="155"/>
    </row>
    <row r="97" spans="1:15" s="94" customFormat="1" ht="18" customHeight="1" x14ac:dyDescent="0.35">
      <c r="B97" s="152">
        <f>B96+1</f>
        <v>41</v>
      </c>
      <c r="C97" s="2"/>
      <c r="D97" s="2"/>
      <c r="E97" s="2"/>
      <c r="F97" s="2"/>
      <c r="G97" s="2" t="s">
        <v>100</v>
      </c>
      <c r="H97" s="2"/>
      <c r="I97" s="66"/>
      <c r="J97" s="66"/>
      <c r="K97" s="66"/>
      <c r="L97" s="203">
        <v>19413</v>
      </c>
      <c r="M97" s="209">
        <f>M96+1</f>
        <v>71</v>
      </c>
      <c r="N97" s="155"/>
    </row>
    <row r="98" spans="1:15" s="94" customFormat="1" ht="18" customHeight="1" x14ac:dyDescent="0.35">
      <c r="B98" s="152">
        <f>B97+1</f>
        <v>42</v>
      </c>
      <c r="C98" s="2"/>
      <c r="D98" s="2"/>
      <c r="E98" s="2"/>
      <c r="F98" s="2"/>
      <c r="G98" s="2" t="s">
        <v>101</v>
      </c>
      <c r="H98" s="2"/>
      <c r="I98" s="66"/>
      <c r="J98" s="66"/>
      <c r="K98" s="66"/>
      <c r="L98" s="203">
        <v>3911</v>
      </c>
      <c r="M98" s="209">
        <f>M97+1</f>
        <v>72</v>
      </c>
      <c r="N98" s="155"/>
    </row>
    <row r="99" spans="1:15" s="94" customFormat="1" ht="18" customHeight="1" x14ac:dyDescent="0.35">
      <c r="B99" s="152">
        <f>B98+1</f>
        <v>43</v>
      </c>
      <c r="C99" s="20" t="s">
        <v>102</v>
      </c>
      <c r="D99" s="2"/>
      <c r="E99" s="2"/>
      <c r="F99" s="2"/>
      <c r="G99" s="2"/>
      <c r="H99" s="2"/>
      <c r="I99" s="66"/>
      <c r="J99" s="77" t="str">
        <f>CONCATENATE("(Sum of Lines ",B95," to ",B98,")")</f>
        <v>(Sum of Lines 39 to 42)</v>
      </c>
      <c r="K99" s="11"/>
      <c r="L99" s="247">
        <v>48931</v>
      </c>
      <c r="M99" s="209">
        <f>M98+1</f>
        <v>73</v>
      </c>
      <c r="N99" s="155"/>
    </row>
    <row r="100" spans="1:15" s="94" customFormat="1" ht="18" customHeight="1" x14ac:dyDescent="0.35">
      <c r="B100" s="152"/>
      <c r="C100" s="2"/>
      <c r="D100" s="2"/>
      <c r="E100" s="2"/>
      <c r="F100" s="2"/>
      <c r="G100" s="2"/>
      <c r="H100" s="2"/>
      <c r="I100" s="66"/>
      <c r="J100" s="66"/>
      <c r="K100" s="66"/>
      <c r="L100" s="66"/>
      <c r="M100" s="209"/>
      <c r="N100" s="155"/>
    </row>
    <row r="101" spans="1:15" s="94" customFormat="1" ht="18" customHeight="1" x14ac:dyDescent="0.35">
      <c r="B101" s="152">
        <f>B99+1</f>
        <v>44</v>
      </c>
      <c r="C101" s="20" t="e">
        <f>CONCATENATE("Total Book Acquisitions During ",Year,"-",Year-1999)</f>
        <v>#REF!</v>
      </c>
      <c r="D101" s="2"/>
      <c r="E101" s="2"/>
      <c r="F101" s="2"/>
      <c r="G101" s="2"/>
      <c r="H101" s="2"/>
      <c r="I101" s="66"/>
      <c r="J101" s="77" t="str">
        <f>CONCATENATE("(Sum of Lines ",B93," and ",B99,")")</f>
        <v>(Sum of Lines 38 and 43)</v>
      </c>
      <c r="K101" s="11"/>
      <c r="L101" s="247">
        <v>49102</v>
      </c>
      <c r="M101" s="209">
        <f>M99+1</f>
        <v>74</v>
      </c>
      <c r="N101" s="155"/>
    </row>
    <row r="102" spans="1:15" s="94" customFormat="1" ht="18" customHeight="1" x14ac:dyDescent="0.35">
      <c r="B102" s="152"/>
      <c r="C102" s="20"/>
      <c r="D102" s="2"/>
      <c r="E102" s="2"/>
      <c r="F102" s="2"/>
      <c r="G102" s="2"/>
      <c r="H102" s="2"/>
      <c r="I102" s="66"/>
      <c r="J102" s="77"/>
      <c r="K102" s="11"/>
      <c r="L102" s="66"/>
      <c r="M102" s="209"/>
      <c r="N102" s="155"/>
    </row>
    <row r="103" spans="1:15" s="94" customFormat="1" ht="18" customHeight="1" x14ac:dyDescent="0.35">
      <c r="B103" s="152"/>
      <c r="C103" s="20"/>
      <c r="D103" s="2"/>
      <c r="E103" s="2"/>
      <c r="F103" s="468" t="e">
        <f>CONCATENATE("Total Book Acquisitions in ",Year-1,"-",Year-2000," (taken from last year's return)")</f>
        <v>#REF!</v>
      </c>
      <c r="G103" s="486"/>
      <c r="H103" s="486"/>
      <c r="I103" s="486"/>
      <c r="J103" s="486"/>
      <c r="K103" s="487"/>
      <c r="L103" s="333">
        <v>46461</v>
      </c>
      <c r="M103" s="209"/>
      <c r="N103" s="155"/>
    </row>
    <row r="104" spans="1:15" s="94" customFormat="1" ht="3.75" customHeight="1" x14ac:dyDescent="0.35">
      <c r="B104" s="152"/>
      <c r="C104" s="452" t="str">
        <f>IF(OR(L103="..",LIBR0038=".."),"",IF(OR((LIBR0038/L103&gt;1.25),(LIBR0038/L103&lt;0.75)),"",""))</f>
        <v/>
      </c>
      <c r="D104" s="452"/>
      <c r="E104" s="452"/>
      <c r="F104" s="452"/>
      <c r="G104" s="452"/>
      <c r="H104" s="452"/>
      <c r="I104" s="452"/>
      <c r="J104" s="452"/>
      <c r="K104" s="452"/>
      <c r="L104" s="452"/>
      <c r="M104" s="209"/>
      <c r="N104" s="155"/>
    </row>
    <row r="105" spans="1:15" s="94" customFormat="1" ht="18" customHeight="1" thickBot="1" x14ac:dyDescent="0.4">
      <c r="B105" s="159"/>
      <c r="C105" s="528"/>
      <c r="D105" s="528"/>
      <c r="E105" s="528"/>
      <c r="F105" s="528"/>
      <c r="G105" s="528"/>
      <c r="H105" s="528"/>
      <c r="I105" s="528"/>
      <c r="J105" s="528"/>
      <c r="K105" s="528"/>
      <c r="L105" s="528"/>
      <c r="M105" s="162"/>
      <c r="N105" s="163"/>
    </row>
    <row r="106" spans="1:15" s="94" customFormat="1" ht="18" customHeight="1" thickBot="1" x14ac:dyDescent="0.4">
      <c r="A106" s="50"/>
      <c r="B106" s="489" t="s">
        <v>106</v>
      </c>
      <c r="C106" s="490"/>
      <c r="D106" s="490"/>
      <c r="E106" s="490"/>
      <c r="F106" s="490"/>
      <c r="G106" s="490"/>
      <c r="H106" s="490"/>
      <c r="I106" s="490"/>
      <c r="J106" s="490"/>
      <c r="K106" s="490"/>
      <c r="L106" s="474" t="s">
        <v>56</v>
      </c>
      <c r="M106" s="474"/>
      <c r="N106" s="475"/>
      <c r="O106"/>
    </row>
    <row r="107" spans="1:15" s="94" customFormat="1" ht="18" customHeight="1" x14ac:dyDescent="0.35">
      <c r="A107" s="50"/>
      <c r="B107" s="164"/>
      <c r="C107" s="165"/>
      <c r="D107" s="166"/>
      <c r="E107" s="166"/>
      <c r="F107" s="166"/>
      <c r="G107" s="166"/>
      <c r="H107" s="166"/>
      <c r="I107" s="167"/>
      <c r="J107" s="168"/>
      <c r="K107" s="168"/>
      <c r="L107" s="168"/>
      <c r="M107" s="169"/>
      <c r="N107" s="170"/>
      <c r="O107"/>
    </row>
    <row r="108" spans="1:15" ht="18" customHeight="1" x14ac:dyDescent="0.35">
      <c r="B108" s="154"/>
      <c r="C108" s="41" t="e">
        <f>CONCATENATE("Audio, Visual &amp; Other Stock at 31 March ",Year+1)</f>
        <v>#REF!</v>
      </c>
      <c r="D108" s="2"/>
      <c r="E108" s="2"/>
      <c r="F108" s="2"/>
      <c r="G108" s="2"/>
      <c r="H108" s="346"/>
      <c r="I108" s="66"/>
      <c r="J108" s="66"/>
      <c r="K108" s="66"/>
      <c r="L108" s="71" t="s">
        <v>107</v>
      </c>
      <c r="M108" s="13"/>
      <c r="N108" s="155"/>
    </row>
    <row r="109" spans="1:15" ht="18" customHeight="1" x14ac:dyDescent="0.35">
      <c r="B109" s="152">
        <f>B101+1</f>
        <v>45</v>
      </c>
      <c r="C109" s="2" t="s">
        <v>108</v>
      </c>
      <c r="D109" s="2"/>
      <c r="E109" s="2"/>
      <c r="F109" s="2"/>
      <c r="G109" s="2"/>
      <c r="H109" s="2"/>
      <c r="I109" s="66"/>
      <c r="J109" s="66"/>
      <c r="K109" s="66"/>
      <c r="L109" s="203">
        <v>917</v>
      </c>
      <c r="M109" s="209">
        <f>M101+1</f>
        <v>75</v>
      </c>
      <c r="N109" s="155"/>
    </row>
    <row r="110" spans="1:15" ht="18" customHeight="1" x14ac:dyDescent="0.35">
      <c r="B110" s="152"/>
      <c r="C110" s="2" t="s">
        <v>97</v>
      </c>
      <c r="D110" s="2"/>
      <c r="E110" s="2"/>
      <c r="F110" s="2"/>
      <c r="G110" s="2"/>
      <c r="H110" s="2"/>
      <c r="I110" s="66"/>
      <c r="J110" s="66"/>
      <c r="K110" s="66"/>
      <c r="L110" s="66"/>
      <c r="M110" s="209"/>
      <c r="N110" s="155"/>
    </row>
    <row r="111" spans="1:15" ht="18" customHeight="1" x14ac:dyDescent="0.35">
      <c r="B111" s="152">
        <f>B109+1</f>
        <v>46</v>
      </c>
      <c r="C111" s="72"/>
      <c r="D111" s="2" t="s">
        <v>109</v>
      </c>
      <c r="E111" s="2"/>
      <c r="F111" s="2"/>
      <c r="G111" s="2"/>
      <c r="H111" s="2"/>
      <c r="I111" s="66"/>
      <c r="J111" s="66"/>
      <c r="K111" s="66"/>
      <c r="L111" s="203">
        <v>18333</v>
      </c>
      <c r="M111" s="209">
        <f>M109+1</f>
        <v>76</v>
      </c>
      <c r="N111" s="155"/>
    </row>
    <row r="112" spans="1:15" ht="18" customHeight="1" x14ac:dyDescent="0.35">
      <c r="B112" s="152">
        <f t="shared" ref="B112:B113" si="3">B111+1</f>
        <v>47</v>
      </c>
      <c r="C112" s="72"/>
      <c r="D112" s="2" t="s">
        <v>110</v>
      </c>
      <c r="E112" s="2"/>
      <c r="F112" s="2"/>
      <c r="G112" s="2"/>
      <c r="H112" s="2"/>
      <c r="I112" s="66"/>
      <c r="J112" s="66"/>
      <c r="K112" s="66"/>
      <c r="L112" s="203">
        <v>5641</v>
      </c>
      <c r="M112" s="209">
        <f t="shared" ref="M112:M113" si="4">M111+1</f>
        <v>77</v>
      </c>
      <c r="N112" s="155"/>
    </row>
    <row r="113" spans="2:14" ht="18" customHeight="1" x14ac:dyDescent="0.35">
      <c r="B113" s="478">
        <f t="shared" si="3"/>
        <v>48</v>
      </c>
      <c r="C113" s="72"/>
      <c r="D113" s="467" t="s">
        <v>111</v>
      </c>
      <c r="E113" s="467"/>
      <c r="F113" s="467"/>
      <c r="G113" s="467"/>
      <c r="H113" s="467"/>
      <c r="I113" s="467"/>
      <c r="J113" s="467"/>
      <c r="K113" s="66"/>
      <c r="L113" s="203">
        <v>55033</v>
      </c>
      <c r="M113" s="209">
        <f t="shared" si="4"/>
        <v>78</v>
      </c>
      <c r="N113" s="155"/>
    </row>
    <row r="114" spans="2:14" ht="18" customHeight="1" x14ac:dyDescent="0.35">
      <c r="B114" s="478"/>
      <c r="C114" s="72"/>
      <c r="D114" s="467"/>
      <c r="E114" s="467"/>
      <c r="F114" s="467"/>
      <c r="G114" s="467"/>
      <c r="H114" s="467"/>
      <c r="I114" s="467"/>
      <c r="J114" s="467"/>
      <c r="K114" s="66"/>
      <c r="L114" s="66"/>
      <c r="M114" s="209"/>
      <c r="N114" s="155"/>
    </row>
    <row r="115" spans="2:14" ht="18" customHeight="1" x14ac:dyDescent="0.35">
      <c r="B115" s="152">
        <f>B113+1</f>
        <v>49</v>
      </c>
      <c r="C115" s="20" t="s">
        <v>102</v>
      </c>
      <c r="D115" s="2"/>
      <c r="E115" s="2"/>
      <c r="F115" s="2"/>
      <c r="G115" s="2"/>
      <c r="H115" s="2"/>
      <c r="I115" s="66"/>
      <c r="J115" s="77" t="str">
        <f>CONCATENATE("(Sum of Lines ",B111," to ",B113,")")</f>
        <v>(Sum of Lines 46 to 48)</v>
      </c>
      <c r="K115" s="36"/>
      <c r="L115" s="247">
        <v>79007</v>
      </c>
      <c r="M115" s="209">
        <f>M113+1</f>
        <v>79</v>
      </c>
      <c r="N115" s="155"/>
    </row>
    <row r="116" spans="2:14" ht="12" customHeight="1" x14ac:dyDescent="0.35">
      <c r="B116" s="152"/>
      <c r="C116" s="53"/>
      <c r="D116" s="2"/>
      <c r="E116" s="2"/>
      <c r="F116" s="2"/>
      <c r="G116" s="2"/>
      <c r="H116" s="2"/>
      <c r="I116" s="53"/>
      <c r="J116" s="53"/>
      <c r="K116" s="53"/>
      <c r="L116" s="53"/>
      <c r="M116" s="209"/>
      <c r="N116" s="151"/>
    </row>
    <row r="117" spans="2:14" ht="18" customHeight="1" x14ac:dyDescent="0.35">
      <c r="B117" s="152">
        <f>B115+1</f>
        <v>50</v>
      </c>
      <c r="C117" s="2" t="s">
        <v>103</v>
      </c>
      <c r="D117" s="2"/>
      <c r="E117" s="2"/>
      <c r="F117" s="2"/>
      <c r="G117" s="2"/>
      <c r="H117" s="2"/>
      <c r="I117" s="66"/>
      <c r="J117" s="66"/>
      <c r="K117" s="66"/>
      <c r="L117" s="203">
        <v>0</v>
      </c>
      <c r="M117" s="209">
        <f>M115+1</f>
        <v>80</v>
      </c>
      <c r="N117" s="155"/>
    </row>
    <row r="118" spans="2:14" ht="18" customHeight="1" x14ac:dyDescent="0.35">
      <c r="B118" s="152"/>
      <c r="C118" s="2"/>
      <c r="D118" s="2"/>
      <c r="E118" s="2"/>
      <c r="F118" s="2"/>
      <c r="G118" s="2"/>
      <c r="H118" s="2"/>
      <c r="I118" s="66"/>
      <c r="J118" s="66"/>
      <c r="K118" s="66"/>
      <c r="L118" s="66"/>
      <c r="M118" s="209"/>
      <c r="N118" s="155"/>
    </row>
    <row r="119" spans="2:14" ht="18" customHeight="1" x14ac:dyDescent="0.35">
      <c r="B119" s="152">
        <f>B117+1</f>
        <v>51</v>
      </c>
      <c r="C119" s="20" t="e">
        <f>CONCATENATE("Total Audio-Visual Stock at 31 March ",Year+1)</f>
        <v>#REF!</v>
      </c>
      <c r="D119" s="2"/>
      <c r="E119" s="2"/>
      <c r="F119" s="2"/>
      <c r="G119" s="346"/>
      <c r="H119" s="2"/>
      <c r="I119" s="66"/>
      <c r="J119" s="77" t="str">
        <f>CONCATENATE("(Sum of Lines ",B109,", ",B115," and ",B117,")")</f>
        <v>(Sum of Lines 45, 49 and 50)</v>
      </c>
      <c r="K119" s="36"/>
      <c r="L119" s="247">
        <v>79924</v>
      </c>
      <c r="M119" s="209">
        <f>M117+1</f>
        <v>81</v>
      </c>
      <c r="N119" s="155"/>
    </row>
    <row r="120" spans="2:14" ht="18" customHeight="1" x14ac:dyDescent="0.35">
      <c r="B120" s="152"/>
      <c r="C120" s="20"/>
      <c r="D120" s="2"/>
      <c r="E120" s="2"/>
      <c r="F120" s="2"/>
      <c r="G120" s="2"/>
      <c r="H120" s="2"/>
      <c r="I120" s="66"/>
      <c r="J120" s="77"/>
      <c r="K120" s="36"/>
      <c r="L120" s="66"/>
      <c r="M120" s="209"/>
      <c r="N120" s="155"/>
    </row>
    <row r="121" spans="2:14" ht="18" customHeight="1" x14ac:dyDescent="0.35">
      <c r="B121" s="152"/>
      <c r="C121" s="20"/>
      <c r="D121" s="468" t="e">
        <f>CONCATENATE("Total Audio Visual Stock in ",Year-1,"-",Year-2000," (taken from last year's return)")</f>
        <v>#REF!</v>
      </c>
      <c r="E121" s="468"/>
      <c r="F121" s="468"/>
      <c r="G121" s="468"/>
      <c r="H121" s="468"/>
      <c r="I121" s="468"/>
      <c r="J121" s="468"/>
      <c r="K121" s="482"/>
      <c r="L121" s="333">
        <v>83943</v>
      </c>
      <c r="M121" s="209"/>
      <c r="N121" s="155"/>
    </row>
    <row r="122" spans="2:14" ht="3.75" customHeight="1" x14ac:dyDescent="0.35">
      <c r="B122" s="152"/>
      <c r="C122" s="452" t="str">
        <f>IF(OR(L121="..",LIBR0051=".."),"",IF(OR((LIBR0051/L121&gt;1.25),(LIBR0051/L121&lt;0.75)),"The Total Audio Visual Stock figure entered differs from last year by more than 25%. Could you please double check your figure, or provide a valid reason for the difference in 'Other Comments' under Section 15.",""))</f>
        <v/>
      </c>
      <c r="D122" s="452"/>
      <c r="E122" s="452"/>
      <c r="F122" s="452"/>
      <c r="G122" s="452"/>
      <c r="H122" s="452"/>
      <c r="I122" s="452"/>
      <c r="J122" s="452"/>
      <c r="K122" s="452"/>
      <c r="L122" s="452"/>
      <c r="M122" s="209"/>
      <c r="N122" s="151"/>
    </row>
    <row r="123" spans="2:14" ht="18" customHeight="1" x14ac:dyDescent="0.35">
      <c r="B123" s="152"/>
      <c r="C123" s="452"/>
      <c r="D123" s="452"/>
      <c r="E123" s="452"/>
      <c r="F123" s="452"/>
      <c r="G123" s="452"/>
      <c r="H123" s="452"/>
      <c r="I123" s="452"/>
      <c r="J123" s="452"/>
      <c r="K123" s="452"/>
      <c r="L123" s="452"/>
      <c r="M123" s="209"/>
      <c r="N123" s="151"/>
    </row>
    <row r="124" spans="2:14" ht="18" customHeight="1" x14ac:dyDescent="0.35">
      <c r="B124" s="152"/>
      <c r="C124" s="41" t="e">
        <f>CONCATENATE("Audio, Visual &amp; Other Acquisitions During ",Year,"-",Year-1999)</f>
        <v>#REF!</v>
      </c>
      <c r="D124" s="2"/>
      <c r="E124" s="2"/>
      <c r="F124" s="2"/>
      <c r="G124" s="2"/>
      <c r="H124" s="346"/>
      <c r="I124" s="66"/>
      <c r="J124" s="66"/>
      <c r="K124" s="66"/>
      <c r="L124" s="71" t="s">
        <v>107</v>
      </c>
      <c r="M124" s="209"/>
      <c r="N124" s="155"/>
    </row>
    <row r="125" spans="2:14" ht="18" customHeight="1" x14ac:dyDescent="0.35">
      <c r="B125" s="152">
        <f>B119+1</f>
        <v>52</v>
      </c>
      <c r="C125" s="2" t="s">
        <v>108</v>
      </c>
      <c r="D125" s="2"/>
      <c r="E125" s="2"/>
      <c r="F125" s="2"/>
      <c r="G125" s="2"/>
      <c r="H125" s="2"/>
      <c r="I125" s="66"/>
      <c r="J125" s="66"/>
      <c r="K125" s="66"/>
      <c r="L125" s="203">
        <v>0</v>
      </c>
      <c r="M125" s="209">
        <f>M119+1</f>
        <v>82</v>
      </c>
      <c r="N125" s="155"/>
    </row>
    <row r="126" spans="2:14" ht="18" customHeight="1" x14ac:dyDescent="0.35">
      <c r="B126" s="152"/>
      <c r="C126" s="2" t="s">
        <v>105</v>
      </c>
      <c r="D126" s="2"/>
      <c r="E126" s="2"/>
      <c r="F126" s="2"/>
      <c r="G126" s="2"/>
      <c r="H126" s="2"/>
      <c r="I126" s="66"/>
      <c r="J126" s="66"/>
      <c r="K126" s="66"/>
      <c r="L126" s="66"/>
      <c r="M126" s="209"/>
      <c r="N126" s="155"/>
    </row>
    <row r="127" spans="2:14" ht="18" customHeight="1" x14ac:dyDescent="0.35">
      <c r="B127" s="152">
        <f>B125+1</f>
        <v>53</v>
      </c>
      <c r="C127" s="72"/>
      <c r="D127" s="2" t="s">
        <v>112</v>
      </c>
      <c r="E127" s="2"/>
      <c r="F127" s="2"/>
      <c r="G127" s="2"/>
      <c r="H127" s="2"/>
      <c r="I127" s="66"/>
      <c r="J127" s="66"/>
      <c r="K127" s="66"/>
      <c r="L127" s="203">
        <v>635</v>
      </c>
      <c r="M127" s="209">
        <f>M125+1</f>
        <v>83</v>
      </c>
      <c r="N127" s="155"/>
    </row>
    <row r="128" spans="2:14" ht="18" customHeight="1" x14ac:dyDescent="0.35">
      <c r="B128" s="152">
        <f t="shared" ref="B128" si="5">B127+1</f>
        <v>54</v>
      </c>
      <c r="C128" s="72"/>
      <c r="D128" s="2" t="s">
        <v>113</v>
      </c>
      <c r="E128" s="2"/>
      <c r="F128" s="2"/>
      <c r="G128" s="2"/>
      <c r="H128" s="2"/>
      <c r="I128" s="66"/>
      <c r="J128" s="66"/>
      <c r="K128" s="66"/>
      <c r="L128" s="203">
        <v>0</v>
      </c>
      <c r="M128" s="209">
        <f t="shared" ref="M128:M129" si="6">M127+1</f>
        <v>84</v>
      </c>
      <c r="N128" s="155"/>
    </row>
    <row r="129" spans="2:14" ht="18" customHeight="1" x14ac:dyDescent="0.35">
      <c r="B129" s="478">
        <f>B128+1</f>
        <v>55</v>
      </c>
      <c r="C129" s="72"/>
      <c r="D129" s="467" t="s">
        <v>114</v>
      </c>
      <c r="E129" s="467"/>
      <c r="F129" s="467"/>
      <c r="G129" s="467"/>
      <c r="H129" s="467"/>
      <c r="I129" s="467"/>
      <c r="J129" s="467"/>
      <c r="K129" s="66"/>
      <c r="L129" s="203">
        <v>94</v>
      </c>
      <c r="M129" s="209">
        <f t="shared" si="6"/>
        <v>85</v>
      </c>
      <c r="N129" s="155"/>
    </row>
    <row r="130" spans="2:14" ht="18" customHeight="1" x14ac:dyDescent="0.35">
      <c r="B130" s="478"/>
      <c r="C130" s="72"/>
      <c r="D130" s="467"/>
      <c r="E130" s="467"/>
      <c r="F130" s="467"/>
      <c r="G130" s="467"/>
      <c r="H130" s="467"/>
      <c r="I130" s="467"/>
      <c r="J130" s="467"/>
      <c r="K130" s="66"/>
      <c r="L130" s="75"/>
      <c r="M130" s="209"/>
      <c r="N130" s="155"/>
    </row>
    <row r="131" spans="2:14" ht="18" customHeight="1" x14ac:dyDescent="0.35">
      <c r="B131" s="152">
        <f>B129+1</f>
        <v>56</v>
      </c>
      <c r="C131" s="20" t="s">
        <v>102</v>
      </c>
      <c r="D131" s="2"/>
      <c r="E131" s="2"/>
      <c r="F131" s="2"/>
      <c r="G131" s="2"/>
      <c r="H131" s="2"/>
      <c r="I131" s="66"/>
      <c r="J131" s="77" t="str">
        <f>CONCATENATE("(Sum of Lines ",B127," to ",B129,")")</f>
        <v>(Sum of Lines 53 to 55)</v>
      </c>
      <c r="K131" s="36"/>
      <c r="L131" s="247">
        <v>729</v>
      </c>
      <c r="M131" s="209">
        <f>M129+1</f>
        <v>86</v>
      </c>
      <c r="N131" s="155"/>
    </row>
    <row r="132" spans="2:14" ht="12" customHeight="1" x14ac:dyDescent="0.35">
      <c r="B132" s="152">
        <f>B131+1</f>
        <v>57</v>
      </c>
      <c r="C132" s="20" t="s">
        <v>115</v>
      </c>
      <c r="D132" s="2"/>
      <c r="E132" s="2"/>
      <c r="F132" s="2"/>
      <c r="G132" s="346"/>
      <c r="H132" s="2"/>
      <c r="I132" s="66"/>
      <c r="J132" s="77" t="str">
        <f>CONCATENATE("(Sum of Lines ",B125," and ",B131,")")</f>
        <v>(Sum of Lines 52 and 56)</v>
      </c>
      <c r="K132" s="36"/>
      <c r="L132" s="247">
        <v>729</v>
      </c>
      <c r="M132" s="209">
        <f>M131+1</f>
        <v>87</v>
      </c>
      <c r="N132" s="155"/>
    </row>
    <row r="133" spans="2:14" ht="18" customHeight="1" x14ac:dyDescent="0.35">
      <c r="B133" s="152"/>
      <c r="C133" s="20"/>
      <c r="D133" s="2"/>
      <c r="E133" s="2"/>
      <c r="F133" s="2"/>
      <c r="G133" s="2"/>
      <c r="H133" s="2"/>
      <c r="I133" s="66"/>
      <c r="J133" s="77"/>
      <c r="K133" s="36"/>
      <c r="L133" s="53"/>
      <c r="M133" s="209"/>
      <c r="N133" s="155"/>
    </row>
    <row r="134" spans="2:14" ht="18" customHeight="1" x14ac:dyDescent="0.35">
      <c r="B134" s="350"/>
      <c r="C134" s="332"/>
      <c r="D134" s="488" t="e">
        <f>CONCATENATE("Total Audio, Visual &amp; Other Acquisitions in ",Year-1,"-",Year-2000," (taken from last year's return)")</f>
        <v>#REF!</v>
      </c>
      <c r="E134" s="488"/>
      <c r="F134" s="488"/>
      <c r="G134" s="488"/>
      <c r="H134" s="488"/>
      <c r="I134" s="488"/>
      <c r="J134" s="488"/>
      <c r="K134" s="488"/>
      <c r="L134" s="333">
        <v>921</v>
      </c>
      <c r="M134" s="209"/>
      <c r="N134" s="155"/>
    </row>
    <row r="135" spans="2:14" ht="4.75" customHeight="1" x14ac:dyDescent="0.35">
      <c r="B135" s="350"/>
      <c r="C135" s="332"/>
      <c r="D135" s="488"/>
      <c r="E135" s="488"/>
      <c r="F135" s="488"/>
      <c r="G135" s="488"/>
      <c r="H135" s="488"/>
      <c r="I135" s="488"/>
      <c r="J135" s="488"/>
      <c r="K135" s="488"/>
      <c r="L135" s="351"/>
      <c r="M135" s="209"/>
      <c r="N135" s="155"/>
    </row>
    <row r="136" spans="2:14" ht="18" customHeight="1" x14ac:dyDescent="0.35">
      <c r="B136" s="152"/>
      <c r="C136" s="452" t="str">
        <f>IF(OR(L134="..",LIBR0063=".."),"",IF(OR((LIBR0063/L134&gt;1.25),(LIBR0063/L134&lt;0.75)),"",""))</f>
        <v/>
      </c>
      <c r="D136" s="452"/>
      <c r="E136" s="452"/>
      <c r="F136" s="452"/>
      <c r="G136" s="452"/>
      <c r="H136" s="452"/>
      <c r="I136" s="452"/>
      <c r="J136" s="452"/>
      <c r="K136" s="452"/>
      <c r="L136" s="452"/>
      <c r="M136" s="209"/>
      <c r="N136" s="155"/>
    </row>
    <row r="137" spans="2:14" ht="18" customHeight="1" thickBot="1" x14ac:dyDescent="0.4">
      <c r="B137" s="159"/>
      <c r="C137" s="528"/>
      <c r="D137" s="528"/>
      <c r="E137" s="528"/>
      <c r="F137" s="528"/>
      <c r="G137" s="528"/>
      <c r="H137" s="528"/>
      <c r="I137" s="528"/>
      <c r="J137" s="528"/>
      <c r="K137" s="528"/>
      <c r="L137" s="528"/>
      <c r="M137" s="162"/>
      <c r="N137" s="163"/>
    </row>
    <row r="138" spans="2:14" ht="18" customHeight="1" thickBot="1" x14ac:dyDescent="0.4">
      <c r="B138" s="453" t="s">
        <v>116</v>
      </c>
      <c r="C138" s="454"/>
      <c r="D138" s="454"/>
      <c r="E138" s="454"/>
      <c r="F138" s="454"/>
      <c r="G138" s="454"/>
      <c r="H138" s="454"/>
      <c r="I138" s="454"/>
      <c r="J138" s="454"/>
      <c r="K138" s="454"/>
      <c r="L138" s="465" t="s">
        <v>56</v>
      </c>
      <c r="M138" s="465"/>
      <c r="N138" s="466"/>
    </row>
    <row r="139" spans="2:14" ht="18" customHeight="1" x14ac:dyDescent="0.35">
      <c r="B139" s="152"/>
      <c r="C139" s="72"/>
      <c r="D139" s="39"/>
      <c r="E139" s="39"/>
      <c r="F139" s="39"/>
      <c r="G139" s="39"/>
      <c r="H139" s="39"/>
      <c r="I139" s="39"/>
      <c r="J139" s="39"/>
      <c r="K139" s="66"/>
      <c r="L139" s="75"/>
      <c r="M139" s="209"/>
      <c r="N139" s="155"/>
    </row>
    <row r="140" spans="2:14" ht="26.5" customHeight="1" x14ac:dyDescent="0.35">
      <c r="B140" s="152"/>
      <c r="C140" s="41" t="e">
        <f>CONCATENATE("Electronic Items at 31 March ",Year+1)</f>
        <v>#REF!</v>
      </c>
      <c r="D140" s="39"/>
      <c r="E140" s="39"/>
      <c r="F140" s="344"/>
      <c r="G140" s="345"/>
      <c r="H140" s="39"/>
      <c r="I140" s="39"/>
      <c r="J140" s="39"/>
      <c r="K140" s="66"/>
      <c r="L140" s="75"/>
      <c r="M140" s="209"/>
      <c r="N140" s="155"/>
    </row>
    <row r="141" spans="2:14" ht="18" customHeight="1" x14ac:dyDescent="0.35">
      <c r="B141" s="152">
        <f>B132+1</f>
        <v>58</v>
      </c>
      <c r="C141" s="72"/>
      <c r="D141" s="2" t="s">
        <v>117</v>
      </c>
      <c r="E141" s="2"/>
      <c r="F141" s="2"/>
      <c r="G141" s="2"/>
      <c r="H141" s="2"/>
      <c r="I141" s="66"/>
      <c r="J141" s="66"/>
      <c r="K141" s="66"/>
      <c r="L141" s="203">
        <v>14908</v>
      </c>
      <c r="M141" s="209">
        <f>M132+1</f>
        <v>88</v>
      </c>
      <c r="N141" s="155"/>
    </row>
    <row r="142" spans="2:14" ht="18" customHeight="1" x14ac:dyDescent="0.35">
      <c r="B142" s="152">
        <f>B141+1</f>
        <v>59</v>
      </c>
      <c r="C142" s="72"/>
      <c r="D142" s="2" t="s">
        <v>118</v>
      </c>
      <c r="E142" s="2"/>
      <c r="F142" s="2"/>
      <c r="G142" s="2"/>
      <c r="H142" s="2"/>
      <c r="I142" s="66"/>
      <c r="J142" s="66"/>
      <c r="K142" s="66"/>
      <c r="L142" s="203">
        <v>11150</v>
      </c>
      <c r="M142" s="209">
        <f>M141+1</f>
        <v>89</v>
      </c>
      <c r="N142" s="155"/>
    </row>
    <row r="143" spans="2:14" ht="18" customHeight="1" x14ac:dyDescent="0.35">
      <c r="B143" s="152">
        <f>B142+1</f>
        <v>60</v>
      </c>
      <c r="C143" s="72"/>
      <c r="D143" s="2" t="s">
        <v>119</v>
      </c>
      <c r="E143" s="2"/>
      <c r="F143" s="2"/>
      <c r="G143" s="2"/>
      <c r="H143" s="2"/>
      <c r="I143" s="66"/>
      <c r="J143" s="66"/>
      <c r="K143" s="66"/>
      <c r="L143" s="203">
        <v>55698</v>
      </c>
      <c r="M143" s="209">
        <f>M142+1</f>
        <v>90</v>
      </c>
      <c r="N143" s="155"/>
    </row>
    <row r="144" spans="2:14" ht="18" customHeight="1" x14ac:dyDescent="0.35">
      <c r="B144" s="152">
        <f>B143+1</f>
        <v>61</v>
      </c>
      <c r="C144" s="72"/>
      <c r="D144" s="2" t="s">
        <v>120</v>
      </c>
      <c r="E144" s="2"/>
      <c r="F144" s="2"/>
      <c r="G144" s="2"/>
      <c r="H144" s="2"/>
      <c r="I144" s="66"/>
      <c r="J144" s="66"/>
      <c r="K144" s="66"/>
      <c r="L144" s="203">
        <v>3061990</v>
      </c>
      <c r="M144" s="209">
        <f>M143+1</f>
        <v>91</v>
      </c>
      <c r="N144" s="155"/>
    </row>
    <row r="145" spans="2:14" ht="18" customHeight="1" x14ac:dyDescent="0.35">
      <c r="B145" s="152">
        <f>B144+1</f>
        <v>62</v>
      </c>
      <c r="C145" s="72"/>
      <c r="D145" s="2" t="s">
        <v>121</v>
      </c>
      <c r="E145" s="2"/>
      <c r="F145" s="2"/>
      <c r="G145" s="2"/>
      <c r="H145" s="2"/>
      <c r="I145" s="66"/>
      <c r="J145" s="66"/>
      <c r="K145" s="66"/>
      <c r="L145" s="203" t="s">
        <v>6</v>
      </c>
      <c r="M145" s="209">
        <f>M144+1</f>
        <v>92</v>
      </c>
      <c r="N145" s="155"/>
    </row>
    <row r="146" spans="2:14" ht="18" customHeight="1" x14ac:dyDescent="0.35">
      <c r="B146" s="152">
        <f>B145+1</f>
        <v>63</v>
      </c>
      <c r="C146" s="72"/>
      <c r="D146" s="2" t="s">
        <v>122</v>
      </c>
      <c r="E146" s="2"/>
      <c r="F146" s="2"/>
      <c r="G146" s="2"/>
      <c r="H146" s="2"/>
      <c r="I146" s="66"/>
      <c r="J146" s="66"/>
      <c r="K146" s="66"/>
      <c r="L146" s="203" t="s">
        <v>6</v>
      </c>
      <c r="M146" s="209">
        <f>M145+1</f>
        <v>93</v>
      </c>
      <c r="N146" s="155"/>
    </row>
    <row r="147" spans="2:14" ht="18" customHeight="1" thickBot="1" x14ac:dyDescent="0.4">
      <c r="B147" s="356"/>
      <c r="C147" s="62"/>
      <c r="D147" s="161"/>
      <c r="E147" s="161"/>
      <c r="F147" s="161"/>
      <c r="G147" s="161"/>
      <c r="H147" s="161"/>
      <c r="I147" s="62"/>
      <c r="J147" s="62"/>
      <c r="K147" s="62"/>
      <c r="L147" s="62"/>
      <c r="M147" s="357"/>
      <c r="N147" s="191"/>
    </row>
    <row r="148" spans="2:14" ht="18" customHeight="1" thickBot="1" x14ac:dyDescent="0.4">
      <c r="B148" s="382" t="str">
        <f>"Section 5 - Numbers of Staff"</f>
        <v>Section 5 - Numbers of Staff</v>
      </c>
      <c r="C148" s="451"/>
      <c r="D148" s="451"/>
      <c r="E148" s="451"/>
      <c r="F148" s="451"/>
      <c r="G148" s="451"/>
      <c r="H148" s="451"/>
      <c r="I148" s="451"/>
      <c r="J148" s="451"/>
      <c r="K148" s="451"/>
      <c r="L148" s="474" t="s">
        <v>123</v>
      </c>
      <c r="M148" s="474"/>
      <c r="N148" s="475"/>
    </row>
    <row r="149" spans="2:14" ht="18" customHeight="1" x14ac:dyDescent="0.35">
      <c r="B149" s="164"/>
      <c r="C149" s="165"/>
      <c r="D149" s="166"/>
      <c r="E149" s="166"/>
      <c r="F149" s="166"/>
      <c r="G149" s="166"/>
      <c r="H149" s="166"/>
      <c r="I149" s="167"/>
      <c r="J149" s="168"/>
      <c r="K149" s="168"/>
      <c r="L149" s="168"/>
      <c r="M149" s="169"/>
      <c r="N149" s="170"/>
    </row>
    <row r="150" spans="2:14" ht="24" customHeight="1" x14ac:dyDescent="0.35">
      <c r="B150" s="52"/>
      <c r="C150" s="15"/>
      <c r="D150" s="53"/>
      <c r="E150" s="53"/>
      <c r="F150" s="53"/>
      <c r="G150" s="53"/>
      <c r="H150" s="53"/>
      <c r="I150" s="80"/>
      <c r="J150" s="69"/>
      <c r="K150" s="69"/>
      <c r="L150" s="71" t="s">
        <v>124</v>
      </c>
      <c r="M150" s="76"/>
      <c r="N150" s="54"/>
    </row>
    <row r="151" spans="2:14" ht="18" customHeight="1" x14ac:dyDescent="0.35">
      <c r="B151" s="52"/>
      <c r="C151" s="41" t="e">
        <f>CONCATENATE("Number of Staff in post at 31 March ",Year+1)</f>
        <v>#REF!</v>
      </c>
      <c r="D151" s="53"/>
      <c r="E151" s="53"/>
      <c r="F151" s="53"/>
      <c r="G151" s="53"/>
      <c r="H151" s="53"/>
      <c r="I151" s="80"/>
      <c r="J151" s="55"/>
      <c r="K151" s="55"/>
      <c r="L151" s="71" t="s">
        <v>125</v>
      </c>
      <c r="M151" s="80"/>
      <c r="N151" s="54"/>
    </row>
    <row r="152" spans="2:14" ht="18" customHeight="1" x14ac:dyDescent="0.35">
      <c r="B152" s="152">
        <f>B146+1</f>
        <v>64</v>
      </c>
      <c r="C152" s="2" t="s">
        <v>126</v>
      </c>
      <c r="D152" s="2"/>
      <c r="E152" s="81"/>
      <c r="F152" s="81"/>
      <c r="G152" s="81"/>
      <c r="H152" s="81"/>
      <c r="I152" s="16"/>
      <c r="J152" s="75"/>
      <c r="K152" s="75"/>
      <c r="L152" s="204">
        <v>38.700000000000003</v>
      </c>
      <c r="M152" s="209">
        <f>M146+1</f>
        <v>94</v>
      </c>
      <c r="N152" s="171"/>
    </row>
    <row r="153" spans="2:14" ht="18" customHeight="1" x14ac:dyDescent="0.35">
      <c r="B153" s="152">
        <f>B152+1</f>
        <v>65</v>
      </c>
      <c r="C153" s="2" t="s">
        <v>127</v>
      </c>
      <c r="D153" s="2"/>
      <c r="E153" s="81"/>
      <c r="F153" s="81"/>
      <c r="G153" s="81"/>
      <c r="H153" s="81"/>
      <c r="I153" s="16"/>
      <c r="J153" s="75"/>
      <c r="K153" s="75"/>
      <c r="L153" s="204">
        <v>156.69999999999999</v>
      </c>
      <c r="M153" s="209">
        <f>M152+1</f>
        <v>95</v>
      </c>
      <c r="N153" s="171"/>
    </row>
    <row r="154" spans="2:14" ht="18" customHeight="1" x14ac:dyDescent="0.35">
      <c r="B154" s="152">
        <f>B153+1</f>
        <v>66</v>
      </c>
      <c r="C154" s="20" t="s">
        <v>128</v>
      </c>
      <c r="D154" s="2"/>
      <c r="E154" s="81"/>
      <c r="F154" s="77"/>
      <c r="G154" s="77"/>
      <c r="H154" s="77"/>
      <c r="I154" s="14"/>
      <c r="J154" s="77" t="str">
        <f>CONCATENATE("(Sum of Lines ",B152," and ",B153,")")</f>
        <v>(Sum of Lines 64 and 65)</v>
      </c>
      <c r="K154" s="36"/>
      <c r="L154" s="255">
        <f>IF(COUNTIF(L152:L153,"..")&gt;0,"..",SUM(L152:L153))</f>
        <v>195.39999999999998</v>
      </c>
      <c r="M154" s="209">
        <f>M153+1</f>
        <v>96</v>
      </c>
      <c r="N154" s="171"/>
    </row>
    <row r="155" spans="2:14" ht="18" customHeight="1" x14ac:dyDescent="0.35">
      <c r="B155" s="152"/>
      <c r="C155" s="20"/>
      <c r="D155" s="2"/>
      <c r="E155" s="81"/>
      <c r="F155" s="77"/>
      <c r="G155" s="77"/>
      <c r="H155" s="77"/>
      <c r="I155" s="14"/>
      <c r="J155" s="77"/>
      <c r="K155" s="36"/>
      <c r="L155" s="219"/>
      <c r="M155" s="209"/>
      <c r="N155" s="171"/>
    </row>
    <row r="156" spans="2:14" ht="18" customHeight="1" x14ac:dyDescent="0.35">
      <c r="B156" s="152"/>
      <c r="C156" s="20"/>
      <c r="D156" s="2"/>
      <c r="E156" s="81"/>
      <c r="F156" s="332"/>
      <c r="G156" s="468" t="e">
        <f>CONCATENATE("Total Staff in ",Year-1,"-",Year-2000," (taken from last year's return)")</f>
        <v>#REF!</v>
      </c>
      <c r="H156" s="468"/>
      <c r="I156" s="468"/>
      <c r="J156" s="468"/>
      <c r="K156" s="482"/>
      <c r="L156" s="370">
        <v>196.2</v>
      </c>
      <c r="M156" s="209"/>
      <c r="N156" s="171"/>
    </row>
    <row r="157" spans="2:14" ht="3.75" customHeight="1" x14ac:dyDescent="0.35">
      <c r="B157" s="152"/>
      <c r="C157" s="452" t="str">
        <f>IF(OR(LIBR0066="..",L156=".."),"",IF(OR((LIBR0066/L156&gt;1.25),(LIBR0066/L156&lt;0.75)),"",""))</f>
        <v/>
      </c>
      <c r="D157" s="452"/>
      <c r="E157" s="452"/>
      <c r="F157" s="452"/>
      <c r="G157" s="452"/>
      <c r="H157" s="452"/>
      <c r="I157" s="452"/>
      <c r="J157" s="452"/>
      <c r="K157" s="452"/>
      <c r="L157" s="452"/>
      <c r="M157" s="209"/>
      <c r="N157" s="171"/>
    </row>
    <row r="158" spans="2:14" ht="18" customHeight="1" thickBot="1" x14ac:dyDescent="0.4">
      <c r="B158" s="173"/>
      <c r="C158" s="452"/>
      <c r="D158" s="452"/>
      <c r="E158" s="452"/>
      <c r="F158" s="452"/>
      <c r="G158" s="452"/>
      <c r="H158" s="452"/>
      <c r="I158" s="452"/>
      <c r="J158" s="452"/>
      <c r="K158" s="452"/>
      <c r="L158" s="452"/>
      <c r="M158" s="1"/>
      <c r="N158" s="171"/>
    </row>
    <row r="159" spans="2:14" ht="18" customHeight="1" thickBot="1" x14ac:dyDescent="0.4">
      <c r="B159" s="382" t="s">
        <v>129</v>
      </c>
      <c r="C159" s="451"/>
      <c r="D159" s="451"/>
      <c r="E159" s="451"/>
      <c r="F159" s="451"/>
      <c r="G159" s="451"/>
      <c r="H159" s="451"/>
      <c r="I159" s="451"/>
      <c r="J159" s="451"/>
      <c r="K159" s="451"/>
      <c r="L159" s="474" t="s">
        <v>26</v>
      </c>
      <c r="M159" s="474"/>
      <c r="N159" s="475"/>
    </row>
    <row r="160" spans="2:14" ht="18" customHeight="1" x14ac:dyDescent="0.35">
      <c r="B160" s="175"/>
      <c r="C160" s="176"/>
      <c r="D160" s="516"/>
      <c r="E160" s="516"/>
      <c r="F160" s="516"/>
      <c r="G160" s="516"/>
      <c r="H160" s="516"/>
      <c r="I160" s="516"/>
      <c r="J160" s="516"/>
      <c r="K160" s="177"/>
      <c r="L160" s="178"/>
      <c r="M160" s="176"/>
      <c r="N160" s="179"/>
    </row>
    <row r="161" spans="2:14" ht="18" customHeight="1" x14ac:dyDescent="0.35">
      <c r="B161" s="172"/>
      <c r="C161" s="41" t="s">
        <v>130</v>
      </c>
      <c r="D161" s="28"/>
      <c r="E161" s="28"/>
      <c r="F161" s="28"/>
      <c r="G161" s="28"/>
      <c r="H161" s="28"/>
      <c r="I161" s="28"/>
      <c r="J161" s="28"/>
      <c r="K161" s="28"/>
      <c r="L161" s="71" t="s">
        <v>79</v>
      </c>
      <c r="M161" s="66"/>
      <c r="N161" s="171"/>
    </row>
    <row r="162" spans="2:14" ht="18" customHeight="1" x14ac:dyDescent="0.35">
      <c r="B162" s="152">
        <f>B154+1</f>
        <v>67</v>
      </c>
      <c r="C162" s="2" t="e">
        <f>CONCATENATE("Number of volunteers in ",Year,"-",Year-1999)</f>
        <v>#REF!</v>
      </c>
      <c r="D162" s="28"/>
      <c r="E162" s="81"/>
      <c r="F162" s="41"/>
      <c r="G162" s="41"/>
      <c r="H162" s="41"/>
      <c r="I162" s="28"/>
      <c r="J162" s="28"/>
      <c r="K162" s="28"/>
      <c r="L162" s="203">
        <v>99</v>
      </c>
      <c r="M162" s="209">
        <f>M154+1</f>
        <v>97</v>
      </c>
      <c r="N162" s="171"/>
    </row>
    <row r="163" spans="2:14" ht="18" customHeight="1" x14ac:dyDescent="0.35">
      <c r="B163" s="152">
        <f>B162+1</f>
        <v>68</v>
      </c>
      <c r="C163" s="2" t="e">
        <f>CONCATENATE("Annual total number of volunteer hours in ",Year,"-",Year-1999)</f>
        <v>#REF!</v>
      </c>
      <c r="D163" s="28"/>
      <c r="E163" s="81"/>
      <c r="F163" s="28"/>
      <c r="G163" s="28"/>
      <c r="H163" s="28"/>
      <c r="I163" s="28"/>
      <c r="J163" s="28"/>
      <c r="K163" s="28"/>
      <c r="L163" s="204">
        <v>4604</v>
      </c>
      <c r="M163" s="209">
        <f>M162+1</f>
        <v>98</v>
      </c>
      <c r="N163" s="171"/>
    </row>
    <row r="164" spans="2:14" ht="18" customHeight="1" thickBot="1" x14ac:dyDescent="0.4">
      <c r="B164" s="173"/>
      <c r="C164" s="160"/>
      <c r="D164" s="180"/>
      <c r="E164" s="161"/>
      <c r="F164" s="180"/>
      <c r="G164" s="180"/>
      <c r="H164" s="180"/>
      <c r="I164" s="180"/>
      <c r="J164" s="180"/>
      <c r="K164" s="180"/>
      <c r="L164" s="181"/>
      <c r="M164" s="160"/>
      <c r="N164" s="174"/>
    </row>
    <row r="165" spans="2:14" ht="18" customHeight="1" thickBot="1" x14ac:dyDescent="0.4">
      <c r="B165" s="382" t="s">
        <v>131</v>
      </c>
      <c r="C165" s="451"/>
      <c r="D165" s="451"/>
      <c r="E165" s="451"/>
      <c r="F165" s="451"/>
      <c r="G165" s="451"/>
      <c r="H165" s="451"/>
      <c r="I165" s="451"/>
      <c r="J165" s="451"/>
      <c r="K165" s="451"/>
      <c r="L165" s="465" t="s">
        <v>26</v>
      </c>
      <c r="M165" s="465"/>
      <c r="N165" s="466"/>
    </row>
    <row r="166" spans="2:14" ht="18" customHeight="1" x14ac:dyDescent="0.35">
      <c r="B166" s="146"/>
      <c r="C166" s="182"/>
      <c r="D166" s="147"/>
      <c r="E166" s="147"/>
      <c r="F166" s="147"/>
      <c r="G166" s="147"/>
      <c r="H166" s="147"/>
      <c r="I166" s="147"/>
      <c r="J166" s="147"/>
      <c r="K166" s="147"/>
      <c r="L166" s="183"/>
      <c r="M166" s="148"/>
      <c r="N166" s="149"/>
    </row>
    <row r="167" spans="2:14" ht="18" customHeight="1" x14ac:dyDescent="0.35">
      <c r="B167" s="154"/>
      <c r="C167" s="41" t="s">
        <v>132</v>
      </c>
      <c r="D167" s="66"/>
      <c r="E167" s="66"/>
      <c r="F167" s="66"/>
      <c r="G167" s="66"/>
      <c r="H167" s="66"/>
      <c r="I167" s="66"/>
      <c r="J167" s="66"/>
      <c r="K167" s="66"/>
      <c r="L167" s="71" t="s">
        <v>133</v>
      </c>
      <c r="M167" s="13"/>
      <c r="N167" s="155"/>
    </row>
    <row r="168" spans="2:14" ht="18" customHeight="1" x14ac:dyDescent="0.35">
      <c r="B168" s="152">
        <f>B163+1</f>
        <v>69</v>
      </c>
      <c r="C168" s="2"/>
      <c r="D168" s="2" t="s">
        <v>134</v>
      </c>
      <c r="E168" s="66"/>
      <c r="F168" s="66"/>
      <c r="G168" s="66"/>
      <c r="H168" s="66"/>
      <c r="I168" s="66"/>
      <c r="J168" s="66"/>
      <c r="K168" s="66"/>
      <c r="L168" s="203">
        <v>383546</v>
      </c>
      <c r="M168" s="209">
        <f>M163+1</f>
        <v>99</v>
      </c>
      <c r="N168" s="155"/>
    </row>
    <row r="169" spans="2:14" ht="18" customHeight="1" x14ac:dyDescent="0.35">
      <c r="B169" s="152">
        <f>B168+1</f>
        <v>70</v>
      </c>
      <c r="C169" s="2"/>
      <c r="D169" s="2" t="s">
        <v>135</v>
      </c>
      <c r="E169" s="66"/>
      <c r="F169" s="66"/>
      <c r="G169" s="66"/>
      <c r="H169" s="66"/>
      <c r="I169" s="66"/>
      <c r="J169" s="66"/>
      <c r="K169" s="66"/>
      <c r="L169" s="203">
        <v>230559</v>
      </c>
      <c r="M169" s="209">
        <f>M168+1</f>
        <v>100</v>
      </c>
      <c r="N169" s="155"/>
    </row>
    <row r="170" spans="2:14" ht="18" customHeight="1" x14ac:dyDescent="0.35">
      <c r="B170" s="152">
        <f>B169+1</f>
        <v>71</v>
      </c>
      <c r="C170" s="2"/>
      <c r="D170" s="2" t="s">
        <v>136</v>
      </c>
      <c r="E170" s="66"/>
      <c r="F170" s="66"/>
      <c r="G170" s="66"/>
      <c r="H170" s="66"/>
      <c r="I170" s="66"/>
      <c r="J170" s="66"/>
      <c r="K170" s="66"/>
      <c r="L170" s="203">
        <v>486810</v>
      </c>
      <c r="M170" s="209">
        <f>M169+1</f>
        <v>101</v>
      </c>
      <c r="N170" s="155"/>
    </row>
    <row r="171" spans="2:14" ht="18" customHeight="1" x14ac:dyDescent="0.35">
      <c r="B171" s="152">
        <f>B170+1</f>
        <v>72</v>
      </c>
      <c r="C171" s="2"/>
      <c r="D171" s="2" t="s">
        <v>137</v>
      </c>
      <c r="E171" s="66"/>
      <c r="F171" s="66"/>
      <c r="G171" s="66"/>
      <c r="H171" s="66"/>
      <c r="I171" s="66"/>
      <c r="J171" s="66"/>
      <c r="K171" s="66"/>
      <c r="L171" s="203">
        <v>98803</v>
      </c>
      <c r="M171" s="209">
        <f>M170+1</f>
        <v>102</v>
      </c>
      <c r="N171" s="155"/>
    </row>
    <row r="172" spans="2:14" ht="18" customHeight="1" x14ac:dyDescent="0.35">
      <c r="B172" s="152">
        <f>B171+1</f>
        <v>73</v>
      </c>
      <c r="C172" s="20" t="s">
        <v>138</v>
      </c>
      <c r="D172" s="66"/>
      <c r="E172" s="66"/>
      <c r="F172" s="66"/>
      <c r="G172" s="66"/>
      <c r="H172" s="66"/>
      <c r="I172" s="66"/>
      <c r="J172" s="77" t="str">
        <f>CONCATENATE("(Sum of Lines ",B168," to ",B171,")")</f>
        <v>(Sum of Lines 69 to 72)</v>
      </c>
      <c r="K172" s="36"/>
      <c r="L172" s="247">
        <f>IF(COUNTIF(L168:L171,"..")&gt;0,"..",SUM(L168:L171))</f>
        <v>1199718</v>
      </c>
      <c r="M172" s="209">
        <f>M171+1</f>
        <v>103</v>
      </c>
      <c r="N172" s="155"/>
    </row>
    <row r="173" spans="2:14" ht="18" customHeight="1" x14ac:dyDescent="0.35">
      <c r="B173" s="152"/>
      <c r="C173" s="20"/>
      <c r="D173" s="66"/>
      <c r="E173" s="66"/>
      <c r="F173" s="66"/>
      <c r="G173" s="66"/>
      <c r="H173" s="66"/>
      <c r="I173" s="66"/>
      <c r="J173" s="77"/>
      <c r="K173" s="36"/>
      <c r="L173" s="219"/>
      <c r="M173" s="209"/>
      <c r="N173" s="155"/>
    </row>
    <row r="174" spans="2:14" ht="18" customHeight="1" x14ac:dyDescent="0.35">
      <c r="B174" s="152"/>
      <c r="C174" s="20"/>
      <c r="D174" s="66"/>
      <c r="E174" s="66"/>
      <c r="F174" s="468" t="e">
        <f>CONCATENATE("Total Book Issues in ",Year-1,"-",Year-2000," (taken from last year's return)")</f>
        <v>#REF!</v>
      </c>
      <c r="G174" s="469"/>
      <c r="H174" s="469"/>
      <c r="I174" s="469"/>
      <c r="J174" s="469"/>
      <c r="K174" s="470"/>
      <c r="L174" s="333">
        <v>650055</v>
      </c>
      <c r="M174" s="209"/>
      <c r="N174" s="155"/>
    </row>
    <row r="175" spans="2:14" ht="3.75" customHeight="1" x14ac:dyDescent="0.35">
      <c r="B175" s="152"/>
      <c r="C175" s="452" t="str">
        <f>IF(OR(LIBR0073="..",L174=".."),"",IF(OR((LIBR0073/L174&gt;1.25),(LIBR0073/L174&lt;0.75)),"",""))</f>
        <v/>
      </c>
      <c r="D175" s="452"/>
      <c r="E175" s="452"/>
      <c r="F175" s="452"/>
      <c r="G175" s="452"/>
      <c r="H175" s="452"/>
      <c r="I175" s="452"/>
      <c r="J175" s="452"/>
      <c r="K175" s="452"/>
      <c r="L175" s="452"/>
      <c r="M175" s="209"/>
      <c r="N175" s="155"/>
    </row>
    <row r="176" spans="2:14" ht="18" customHeight="1" x14ac:dyDescent="0.35">
      <c r="B176" s="152"/>
      <c r="C176" s="452"/>
      <c r="D176" s="452"/>
      <c r="E176" s="452"/>
      <c r="F176" s="452"/>
      <c r="G176" s="452"/>
      <c r="H176" s="452"/>
      <c r="I176" s="452"/>
      <c r="J176" s="452"/>
      <c r="K176" s="452"/>
      <c r="L176" s="452"/>
      <c r="M176" s="106"/>
      <c r="N176" s="155"/>
    </row>
    <row r="177" spans="2:14" ht="18" customHeight="1" x14ac:dyDescent="0.35">
      <c r="B177" s="152"/>
      <c r="C177" s="41" t="s">
        <v>139</v>
      </c>
      <c r="D177" s="66"/>
      <c r="E177" s="66"/>
      <c r="F177" s="66"/>
      <c r="G177" s="66"/>
      <c r="H177" s="66"/>
      <c r="I177" s="66"/>
      <c r="J177" s="66"/>
      <c r="K177" s="66"/>
      <c r="L177" s="83"/>
      <c r="M177" s="108"/>
      <c r="N177" s="155"/>
    </row>
    <row r="178" spans="2:14" ht="18" customHeight="1" x14ac:dyDescent="0.35">
      <c r="B178" s="152">
        <f>B172+1</f>
        <v>74</v>
      </c>
      <c r="C178" s="2"/>
      <c r="D178" s="2" t="s">
        <v>109</v>
      </c>
      <c r="E178" s="66"/>
      <c r="F178" s="66"/>
      <c r="G178" s="66"/>
      <c r="H178" s="66"/>
      <c r="I178" s="66"/>
      <c r="J178" s="66"/>
      <c r="K178" s="66"/>
      <c r="L178" s="203">
        <v>14467</v>
      </c>
      <c r="M178" s="209">
        <f>M172+1</f>
        <v>104</v>
      </c>
      <c r="N178" s="155"/>
    </row>
    <row r="179" spans="2:14" ht="18" customHeight="1" x14ac:dyDescent="0.35">
      <c r="B179" s="152">
        <f t="shared" ref="B179:B192" si="7">B178+1</f>
        <v>75</v>
      </c>
      <c r="C179" s="2"/>
      <c r="D179" s="2" t="s">
        <v>110</v>
      </c>
      <c r="E179" s="66"/>
      <c r="F179" s="66"/>
      <c r="G179" s="66"/>
      <c r="H179" s="66"/>
      <c r="I179" s="66"/>
      <c r="J179" s="66"/>
      <c r="K179" s="66"/>
      <c r="L179" s="203">
        <v>3069</v>
      </c>
      <c r="M179" s="209">
        <f t="shared" ref="M179:M192" si="8">M178+1</f>
        <v>105</v>
      </c>
      <c r="N179" s="155"/>
    </row>
    <row r="180" spans="2:14" ht="18" customHeight="1" x14ac:dyDescent="0.35">
      <c r="B180" s="478">
        <f>B179+1</f>
        <v>76</v>
      </c>
      <c r="C180" s="2"/>
      <c r="D180" s="467" t="s">
        <v>111</v>
      </c>
      <c r="E180" s="467"/>
      <c r="F180" s="467"/>
      <c r="G180" s="467"/>
      <c r="H180" s="467"/>
      <c r="I180" s="467"/>
      <c r="J180" s="467"/>
      <c r="K180" s="66"/>
      <c r="L180" s="203">
        <v>16389</v>
      </c>
      <c r="M180" s="209">
        <f t="shared" si="8"/>
        <v>106</v>
      </c>
      <c r="N180" s="155"/>
    </row>
    <row r="181" spans="2:14" ht="18" customHeight="1" x14ac:dyDescent="0.35">
      <c r="B181" s="478"/>
      <c r="C181" s="2"/>
      <c r="D181" s="467"/>
      <c r="E181" s="467"/>
      <c r="F181" s="467"/>
      <c r="G181" s="467"/>
      <c r="H181" s="467"/>
      <c r="I181" s="467"/>
      <c r="J181" s="467"/>
      <c r="K181" s="66"/>
      <c r="L181" s="75"/>
      <c r="M181" s="209"/>
      <c r="N181" s="155"/>
    </row>
    <row r="182" spans="2:14" ht="18" customHeight="1" x14ac:dyDescent="0.35">
      <c r="B182" s="152">
        <f>B180+1</f>
        <v>77</v>
      </c>
      <c r="C182" s="20" t="s">
        <v>140</v>
      </c>
      <c r="D182" s="66"/>
      <c r="E182" s="66"/>
      <c r="F182" s="66"/>
      <c r="G182" s="66"/>
      <c r="H182" s="66"/>
      <c r="I182" s="66"/>
      <c r="J182" s="77" t="str">
        <f>CONCATENATE("(Sum of Lines ",B178," to ",B180,")")</f>
        <v>(Sum of Lines 74 to 76)</v>
      </c>
      <c r="K182" s="36"/>
      <c r="L182" s="247">
        <f>IF(COUNTIF(L178:L180,"..")&gt;0,"..",SUM(L178:L180))</f>
        <v>33925</v>
      </c>
      <c r="M182" s="209">
        <f>M180+1</f>
        <v>107</v>
      </c>
      <c r="N182" s="155"/>
    </row>
    <row r="183" spans="2:14" ht="12" customHeight="1" x14ac:dyDescent="0.35">
      <c r="B183" s="152"/>
      <c r="C183" s="20"/>
      <c r="D183" s="66"/>
      <c r="E183" s="66"/>
      <c r="F183" s="66"/>
      <c r="G183" s="66"/>
      <c r="H183" s="66"/>
      <c r="I183" s="66"/>
      <c r="J183" s="77"/>
      <c r="K183" s="36"/>
      <c r="L183" s="219"/>
      <c r="M183" s="209"/>
      <c r="N183" s="155"/>
    </row>
    <row r="184" spans="2:14" ht="18" customHeight="1" x14ac:dyDescent="0.35">
      <c r="B184" s="481" t="e">
        <f>CONCATENATE("Total Audio, Visual &amp; Other Issues in ",Year-1,"-",Year-2000," (taken from last year's return)")</f>
        <v>#REF!</v>
      </c>
      <c r="C184" s="468"/>
      <c r="D184" s="468"/>
      <c r="E184" s="468"/>
      <c r="F184" s="468"/>
      <c r="G184" s="468"/>
      <c r="H184" s="468"/>
      <c r="I184" s="468"/>
      <c r="J184" s="468"/>
      <c r="K184" s="482"/>
      <c r="L184" s="333">
        <v>26812</v>
      </c>
      <c r="M184" s="209"/>
      <c r="N184" s="155"/>
    </row>
    <row r="185" spans="2:14" ht="3" customHeight="1" x14ac:dyDescent="0.35">
      <c r="B185" s="152"/>
      <c r="C185" s="452" t="str">
        <f>IF(OR(LIBR0083="..",L174=".."),"",IF(OR((LIBR0083/L174&gt;1.25),(LIBR0083/L174&lt;0.75)),"",""))</f>
        <v/>
      </c>
      <c r="D185" s="452"/>
      <c r="E185" s="452"/>
      <c r="F185" s="452"/>
      <c r="G185" s="452"/>
      <c r="H185" s="452"/>
      <c r="I185" s="452"/>
      <c r="J185" s="452"/>
      <c r="K185" s="452"/>
      <c r="L185" s="452"/>
      <c r="M185" s="209"/>
      <c r="N185" s="155"/>
    </row>
    <row r="186" spans="2:14" ht="18" customHeight="1" x14ac:dyDescent="0.35">
      <c r="B186" s="152"/>
      <c r="C186" s="452"/>
      <c r="D186" s="452"/>
      <c r="E186" s="452"/>
      <c r="F186" s="452"/>
      <c r="G186" s="452"/>
      <c r="H186" s="452"/>
      <c r="I186" s="452"/>
      <c r="J186" s="452"/>
      <c r="K186" s="452"/>
      <c r="L186" s="452"/>
      <c r="M186" s="209"/>
      <c r="N186" s="155"/>
    </row>
    <row r="187" spans="2:14" ht="18" customHeight="1" x14ac:dyDescent="0.35">
      <c r="B187" s="152"/>
      <c r="C187" s="41" t="s">
        <v>141</v>
      </c>
      <c r="D187" s="39"/>
      <c r="E187" s="39"/>
      <c r="F187" s="39"/>
      <c r="G187" s="39"/>
      <c r="H187" s="39"/>
      <c r="I187" s="39"/>
      <c r="J187" s="39"/>
      <c r="K187" s="66"/>
      <c r="L187" s="75"/>
      <c r="M187" s="209"/>
      <c r="N187" s="155"/>
    </row>
    <row r="188" spans="2:14" ht="18" customHeight="1" x14ac:dyDescent="0.35">
      <c r="B188" s="152">
        <f>B182+1</f>
        <v>78</v>
      </c>
      <c r="C188" s="2"/>
      <c r="D188" s="2" t="s">
        <v>117</v>
      </c>
      <c r="E188" s="66"/>
      <c r="F188" s="66"/>
      <c r="G188" s="66"/>
      <c r="H188" s="66"/>
      <c r="I188" s="66"/>
      <c r="J188" s="66"/>
      <c r="K188" s="66"/>
      <c r="L188" s="203">
        <v>192093</v>
      </c>
      <c r="M188" s="209">
        <f>M182+1</f>
        <v>108</v>
      </c>
      <c r="N188" s="155"/>
    </row>
    <row r="189" spans="2:14" ht="15" customHeight="1" x14ac:dyDescent="0.35">
      <c r="B189" s="152">
        <f t="shared" si="7"/>
        <v>79</v>
      </c>
      <c r="C189" s="2"/>
      <c r="D189" s="2" t="s">
        <v>118</v>
      </c>
      <c r="E189" s="66"/>
      <c r="F189" s="66"/>
      <c r="G189" s="66"/>
      <c r="H189" s="66"/>
      <c r="I189" s="66"/>
      <c r="J189" s="66"/>
      <c r="K189" s="66"/>
      <c r="L189" s="203">
        <v>3027511</v>
      </c>
      <c r="M189" s="209">
        <f t="shared" si="8"/>
        <v>109</v>
      </c>
      <c r="N189" s="155"/>
    </row>
    <row r="190" spans="2:14" ht="18" customHeight="1" x14ac:dyDescent="0.35">
      <c r="B190" s="152">
        <f t="shared" si="7"/>
        <v>80</v>
      </c>
      <c r="C190" s="2"/>
      <c r="D190" s="2" t="s">
        <v>119</v>
      </c>
      <c r="E190" s="66"/>
      <c r="F190" s="66"/>
      <c r="G190" s="66"/>
      <c r="H190" s="66"/>
      <c r="I190" s="66"/>
      <c r="J190" s="66"/>
      <c r="K190" s="66"/>
      <c r="L190" s="203">
        <v>161930</v>
      </c>
      <c r="M190" s="209">
        <f t="shared" si="8"/>
        <v>110</v>
      </c>
      <c r="N190" s="155"/>
    </row>
    <row r="191" spans="2:14" ht="18" customHeight="1" x14ac:dyDescent="0.35">
      <c r="B191" s="152">
        <f t="shared" si="7"/>
        <v>81</v>
      </c>
      <c r="C191" s="2"/>
      <c r="D191" s="2" t="s">
        <v>120</v>
      </c>
      <c r="E191" s="66"/>
      <c r="F191" s="66"/>
      <c r="G191" s="66"/>
      <c r="H191" s="66"/>
      <c r="I191" s="66"/>
      <c r="J191" s="66"/>
      <c r="K191" s="66"/>
      <c r="L191" s="203">
        <v>7755</v>
      </c>
      <c r="M191" s="209">
        <f t="shared" si="8"/>
        <v>111</v>
      </c>
      <c r="N191" s="155"/>
    </row>
    <row r="192" spans="2:14" ht="18" customHeight="1" x14ac:dyDescent="0.35">
      <c r="B192" s="152">
        <f t="shared" si="7"/>
        <v>82</v>
      </c>
      <c r="C192" s="2"/>
      <c r="D192" s="2" t="s">
        <v>121</v>
      </c>
      <c r="E192" s="66"/>
      <c r="F192" s="66"/>
      <c r="G192" s="66"/>
      <c r="H192" s="66"/>
      <c r="I192" s="66"/>
      <c r="J192" s="66"/>
      <c r="K192" s="66"/>
      <c r="L192" s="203" t="s">
        <v>6</v>
      </c>
      <c r="M192" s="209">
        <f t="shared" si="8"/>
        <v>112</v>
      </c>
      <c r="N192" s="155"/>
    </row>
    <row r="193" spans="2:14" ht="18" customHeight="1" x14ac:dyDescent="0.35">
      <c r="B193" s="152">
        <f>B192+1</f>
        <v>83</v>
      </c>
      <c r="C193" s="2"/>
      <c r="D193" s="2" t="s">
        <v>122</v>
      </c>
      <c r="E193" s="66"/>
      <c r="F193" s="66"/>
      <c r="G193" s="66"/>
      <c r="H193" s="66"/>
      <c r="I193" s="66"/>
      <c r="J193" s="66"/>
      <c r="K193" s="66"/>
      <c r="L193" s="203" t="s">
        <v>6</v>
      </c>
      <c r="M193" s="209">
        <f>M192+1</f>
        <v>113</v>
      </c>
      <c r="N193" s="155"/>
    </row>
    <row r="194" spans="2:14" ht="18" customHeight="1" thickBot="1" x14ac:dyDescent="0.4">
      <c r="B194" s="159"/>
      <c r="C194" s="452"/>
      <c r="D194" s="452"/>
      <c r="E194" s="452"/>
      <c r="F194" s="452"/>
      <c r="G194" s="452"/>
      <c r="H194" s="452"/>
      <c r="I194" s="452"/>
      <c r="J194" s="452"/>
      <c r="K194" s="452"/>
      <c r="L194" s="452"/>
      <c r="M194" s="1"/>
      <c r="N194" s="155"/>
    </row>
    <row r="195" spans="2:14" ht="18" customHeight="1" thickBot="1" x14ac:dyDescent="0.4">
      <c r="B195" s="382" t="s">
        <v>142</v>
      </c>
      <c r="C195" s="451"/>
      <c r="D195" s="451"/>
      <c r="E195" s="451"/>
      <c r="F195" s="451"/>
      <c r="G195" s="451"/>
      <c r="H195" s="451"/>
      <c r="I195" s="451"/>
      <c r="J195" s="451"/>
      <c r="K195" s="451"/>
      <c r="L195" s="474" t="s">
        <v>26</v>
      </c>
      <c r="M195" s="474"/>
      <c r="N195" s="475"/>
    </row>
    <row r="196" spans="2:14" ht="8.5" customHeight="1" x14ac:dyDescent="0.35">
      <c r="B196" s="146"/>
      <c r="C196" s="147"/>
      <c r="D196" s="147"/>
      <c r="E196" s="147"/>
      <c r="F196" s="147"/>
      <c r="G196" s="147"/>
      <c r="H196" s="147"/>
      <c r="I196" s="147"/>
      <c r="J196" s="147"/>
      <c r="K196" s="147"/>
      <c r="L196" s="183"/>
      <c r="M196" s="148"/>
      <c r="N196" s="149"/>
    </row>
    <row r="197" spans="2:14" ht="18" customHeight="1" x14ac:dyDescent="0.35">
      <c r="B197" s="150"/>
      <c r="C197" s="65"/>
      <c r="D197" s="65"/>
      <c r="E197" s="65"/>
      <c r="F197" s="65"/>
      <c r="G197" s="65"/>
      <c r="H197" s="65"/>
      <c r="I197" s="65"/>
      <c r="J197" s="65"/>
      <c r="K197" s="65"/>
      <c r="L197" s="71" t="s">
        <v>133</v>
      </c>
      <c r="M197" s="12"/>
      <c r="N197" s="151"/>
    </row>
    <row r="198" spans="2:14" ht="18" customHeight="1" x14ac:dyDescent="0.35">
      <c r="B198" s="152">
        <f>B193+1</f>
        <v>84</v>
      </c>
      <c r="C198" s="2" t="s">
        <v>143</v>
      </c>
      <c r="D198" s="2"/>
      <c r="E198" s="2"/>
      <c r="F198" s="2"/>
      <c r="G198" s="2"/>
      <c r="H198" s="2"/>
      <c r="I198" s="2"/>
      <c r="J198" s="2"/>
      <c r="K198" s="39"/>
      <c r="L198" s="203">
        <v>421583</v>
      </c>
      <c r="M198" s="209">
        <f>M193+1</f>
        <v>114</v>
      </c>
      <c r="N198" s="155"/>
    </row>
    <row r="199" spans="2:14" ht="18" customHeight="1" x14ac:dyDescent="0.35">
      <c r="B199" s="154"/>
      <c r="C199" s="39"/>
      <c r="D199" s="39"/>
      <c r="E199" s="39"/>
      <c r="F199" s="39"/>
      <c r="G199" s="39"/>
      <c r="H199" s="39"/>
      <c r="I199" s="39"/>
      <c r="J199" s="39"/>
      <c r="K199" s="39"/>
      <c r="L199" s="35"/>
      <c r="M199" s="209"/>
      <c r="N199" s="155"/>
    </row>
    <row r="200" spans="2:14" ht="18" customHeight="1" x14ac:dyDescent="0.35">
      <c r="B200" s="152">
        <f>B198+1</f>
        <v>85</v>
      </c>
      <c r="C200" s="2" t="s">
        <v>144</v>
      </c>
      <c r="D200" s="2"/>
      <c r="E200" s="2"/>
      <c r="F200" s="2"/>
      <c r="G200" s="2"/>
      <c r="H200" s="2"/>
      <c r="I200" s="2"/>
      <c r="J200" s="2"/>
      <c r="K200" s="39"/>
      <c r="L200" s="203">
        <v>140212</v>
      </c>
      <c r="M200" s="209">
        <f>M198+1</f>
        <v>115</v>
      </c>
      <c r="N200" s="155"/>
    </row>
    <row r="201" spans="2:14" ht="18" customHeight="1" x14ac:dyDescent="0.35">
      <c r="B201" s="152"/>
      <c r="C201" s="2"/>
      <c r="D201" s="2"/>
      <c r="E201" s="2"/>
      <c r="F201" s="2"/>
      <c r="G201" s="2"/>
      <c r="H201" s="2"/>
      <c r="I201" s="2"/>
      <c r="J201" s="66"/>
      <c r="K201" s="66"/>
      <c r="L201" s="66"/>
      <c r="M201" s="209"/>
      <c r="N201" s="155"/>
    </row>
    <row r="202" spans="2:14" ht="18" customHeight="1" x14ac:dyDescent="0.35">
      <c r="B202" s="152"/>
      <c r="C202" s="41" t="s">
        <v>145</v>
      </c>
      <c r="D202" s="73"/>
      <c r="E202" s="73"/>
      <c r="F202" s="66"/>
      <c r="G202" s="66"/>
      <c r="H202" s="66"/>
      <c r="I202" s="66"/>
      <c r="J202" s="66"/>
      <c r="K202" s="66"/>
      <c r="L202" s="71" t="s">
        <v>146</v>
      </c>
      <c r="M202" s="209"/>
      <c r="N202" s="155"/>
    </row>
    <row r="203" spans="2:14" ht="18" customHeight="1" x14ac:dyDescent="0.35">
      <c r="B203" s="152">
        <f>B200+1</f>
        <v>86</v>
      </c>
      <c r="C203" s="2" t="s">
        <v>147</v>
      </c>
      <c r="D203" s="2"/>
      <c r="E203" s="2"/>
      <c r="F203" s="2"/>
      <c r="G203" s="2"/>
      <c r="H203" s="2"/>
      <c r="I203" s="2"/>
      <c r="J203" s="2"/>
      <c r="K203" s="39"/>
      <c r="L203" s="203">
        <v>53.62</v>
      </c>
      <c r="M203" s="209">
        <f>M200+1</f>
        <v>116</v>
      </c>
      <c r="N203" s="155" t="b">
        <v>1</v>
      </c>
    </row>
    <row r="204" spans="2:14" ht="18" customHeight="1" x14ac:dyDescent="0.35">
      <c r="B204" s="152"/>
      <c r="C204" s="2"/>
      <c r="D204" s="30" t="s">
        <v>148</v>
      </c>
      <c r="E204" s="2"/>
      <c r="F204" s="2"/>
      <c r="G204" s="2"/>
      <c r="H204" s="2"/>
      <c r="I204" s="2"/>
      <c r="J204" s="66"/>
      <c r="K204" s="66"/>
      <c r="L204" s="32"/>
      <c r="M204" s="209"/>
      <c r="N204" s="155"/>
    </row>
    <row r="205" spans="2:14" ht="18" customHeight="1" x14ac:dyDescent="0.35">
      <c r="B205" s="152">
        <f>B203+1</f>
        <v>87</v>
      </c>
      <c r="C205" s="3" t="s">
        <v>149</v>
      </c>
      <c r="D205" s="5"/>
      <c r="E205" s="5"/>
      <c r="F205" s="5"/>
      <c r="G205" s="5"/>
      <c r="H205" s="5"/>
      <c r="I205" s="5"/>
      <c r="J205" s="5"/>
      <c r="K205" s="5"/>
      <c r="L205" s="203">
        <v>70.19</v>
      </c>
      <c r="M205" s="209">
        <f>M203+1</f>
        <v>117</v>
      </c>
      <c r="N205" s="155"/>
    </row>
    <row r="206" spans="2:14" ht="18" customHeight="1" x14ac:dyDescent="0.35">
      <c r="B206" s="152"/>
      <c r="C206" s="5"/>
      <c r="D206" s="38" t="str">
        <f>CONCATENATE("(cumulative i.e. inclusive of percentage at Cell ",M203,")")</f>
        <v>(cumulative i.e. inclusive of percentage at Cell 116)</v>
      </c>
      <c r="E206" s="5"/>
      <c r="F206" s="5"/>
      <c r="G206" s="5"/>
      <c r="H206" s="5"/>
      <c r="I206" s="5"/>
      <c r="J206" s="5"/>
      <c r="K206" s="5"/>
      <c r="L206" s="219"/>
      <c r="M206" s="209"/>
      <c r="N206" s="155"/>
    </row>
    <row r="207" spans="2:14" ht="18" customHeight="1" x14ac:dyDescent="0.35">
      <c r="B207" s="152">
        <f>B205+1</f>
        <v>88</v>
      </c>
      <c r="C207" s="3" t="s">
        <v>150</v>
      </c>
      <c r="D207" s="5"/>
      <c r="E207" s="5"/>
      <c r="F207" s="5"/>
      <c r="G207" s="5"/>
      <c r="H207" s="5"/>
      <c r="I207" s="5"/>
      <c r="J207" s="5"/>
      <c r="K207" s="5"/>
      <c r="L207" s="203">
        <v>80.23</v>
      </c>
      <c r="M207" s="209">
        <f>M205+1</f>
        <v>118</v>
      </c>
      <c r="N207" s="155"/>
    </row>
    <row r="208" spans="2:14" ht="18" customHeight="1" x14ac:dyDescent="0.35">
      <c r="B208" s="154"/>
      <c r="C208" s="5"/>
      <c r="D208" s="38" t="str">
        <f>CONCATENATE("(cumulative i.e. inclusive of percentage at Cell ",M205,")")</f>
        <v>(cumulative i.e. inclusive of percentage at Cell 117)</v>
      </c>
      <c r="E208" s="5"/>
      <c r="F208" s="5"/>
      <c r="G208" s="5"/>
      <c r="H208" s="5"/>
      <c r="I208" s="5"/>
      <c r="J208" s="5"/>
      <c r="K208" s="5"/>
      <c r="L208" s="66"/>
      <c r="M208" s="1"/>
      <c r="N208" s="155"/>
    </row>
    <row r="209" spans="2:14" ht="18" customHeight="1" thickBot="1" x14ac:dyDescent="0.4">
      <c r="B209" s="159"/>
      <c r="C209" s="161"/>
      <c r="D209" s="160"/>
      <c r="E209" s="160"/>
      <c r="F209" s="160"/>
      <c r="G209" s="160"/>
      <c r="H209" s="160"/>
      <c r="I209" s="160"/>
      <c r="J209" s="184"/>
      <c r="K209" s="184"/>
      <c r="L209" s="160"/>
      <c r="M209" s="162"/>
      <c r="N209" s="163"/>
    </row>
    <row r="210" spans="2:14" ht="18" customHeight="1" thickBot="1" x14ac:dyDescent="0.4">
      <c r="B210" s="450" t="s">
        <v>151</v>
      </c>
      <c r="C210" s="451"/>
      <c r="D210" s="451"/>
      <c r="E210" s="451"/>
      <c r="F210" s="451"/>
      <c r="G210" s="451"/>
      <c r="H210" s="451"/>
      <c r="I210" s="451"/>
      <c r="J210" s="451"/>
      <c r="K210" s="451"/>
      <c r="L210" s="465" t="s">
        <v>26</v>
      </c>
      <c r="M210" s="465"/>
      <c r="N210" s="466"/>
    </row>
    <row r="211" spans="2:14" ht="18" customHeight="1" x14ac:dyDescent="0.35">
      <c r="B211" s="146"/>
      <c r="C211" s="147"/>
      <c r="D211" s="147"/>
      <c r="E211" s="147"/>
      <c r="F211" s="147"/>
      <c r="G211" s="147"/>
      <c r="H211" s="147"/>
      <c r="I211" s="147"/>
      <c r="J211" s="147"/>
      <c r="K211" s="147"/>
      <c r="L211" s="183"/>
      <c r="M211" s="148"/>
      <c r="N211" s="149"/>
    </row>
    <row r="212" spans="2:14" ht="25.5" customHeight="1" x14ac:dyDescent="0.35">
      <c r="B212" s="150"/>
      <c r="C212" s="65"/>
      <c r="D212" s="65"/>
      <c r="E212" s="65"/>
      <c r="F212" s="65"/>
      <c r="G212" s="65"/>
      <c r="H212" s="65"/>
      <c r="I212" s="65"/>
      <c r="J212" s="65"/>
      <c r="K212" s="65"/>
      <c r="L212" s="115" t="s">
        <v>133</v>
      </c>
      <c r="M212" s="12"/>
      <c r="N212" s="151"/>
    </row>
    <row r="213" spans="2:14" ht="18" customHeight="1" x14ac:dyDescent="0.35">
      <c r="B213" s="152">
        <f>B207+1</f>
        <v>89</v>
      </c>
      <c r="C213" s="20" t="s">
        <v>152</v>
      </c>
      <c r="D213" s="20"/>
      <c r="E213" s="20"/>
      <c r="F213" s="20"/>
      <c r="G213" s="20"/>
      <c r="H213" s="20"/>
      <c r="I213" s="20"/>
      <c r="J213" s="20"/>
      <c r="K213" s="40"/>
      <c r="L213" s="203">
        <v>132500</v>
      </c>
      <c r="M213" s="209">
        <f>M207+1</f>
        <v>119</v>
      </c>
      <c r="N213" s="155"/>
    </row>
    <row r="214" spans="2:14" ht="18" customHeight="1" x14ac:dyDescent="0.35">
      <c r="B214" s="152"/>
      <c r="C214" s="40"/>
      <c r="D214" s="40"/>
      <c r="E214" s="40"/>
      <c r="F214" s="40"/>
      <c r="G214" s="40"/>
      <c r="H214" s="40"/>
      <c r="I214" s="40"/>
      <c r="J214" s="40"/>
      <c r="K214" s="40"/>
      <c r="L214" s="35"/>
      <c r="M214" s="209"/>
      <c r="N214" s="155"/>
    </row>
    <row r="215" spans="2:14" ht="18" customHeight="1" x14ac:dyDescent="0.35">
      <c r="B215" s="152">
        <f>B213+1</f>
        <v>90</v>
      </c>
      <c r="C215" s="2" t="s">
        <v>153</v>
      </c>
      <c r="D215" s="2"/>
      <c r="E215" s="2"/>
      <c r="F215" s="2"/>
      <c r="G215" s="2"/>
      <c r="H215" s="2"/>
      <c r="I215" s="2"/>
      <c r="J215" s="2"/>
      <c r="K215" s="39"/>
      <c r="L215" s="203" t="s">
        <v>6</v>
      </c>
      <c r="M215" s="209">
        <f>M213+1</f>
        <v>120</v>
      </c>
      <c r="N215" s="155"/>
    </row>
    <row r="216" spans="2:14" ht="18" customHeight="1" x14ac:dyDescent="0.35">
      <c r="B216" s="150"/>
      <c r="C216" s="53"/>
      <c r="D216" s="53"/>
      <c r="E216" s="53"/>
      <c r="F216" s="53"/>
      <c r="G216" s="53"/>
      <c r="H216" s="53"/>
      <c r="I216" s="53"/>
      <c r="J216" s="53"/>
      <c r="K216" s="53"/>
      <c r="L216" s="53"/>
      <c r="M216" s="209"/>
      <c r="N216" s="151"/>
    </row>
    <row r="217" spans="2:14" ht="18" customHeight="1" x14ac:dyDescent="0.35">
      <c r="B217" s="152">
        <f>B215+1</f>
        <v>91</v>
      </c>
      <c r="C217" s="2" t="s">
        <v>154</v>
      </c>
      <c r="D217" s="218"/>
      <c r="E217" s="218"/>
      <c r="F217" s="218"/>
      <c r="G217" s="218"/>
      <c r="H217" s="218"/>
      <c r="I217" s="218"/>
      <c r="J217" s="218"/>
      <c r="K217" s="218"/>
      <c r="L217" s="218"/>
      <c r="M217" s="209"/>
      <c r="N217" s="155"/>
    </row>
    <row r="218" spans="2:14" ht="18" customHeight="1" x14ac:dyDescent="0.35">
      <c r="B218" s="152"/>
      <c r="C218" s="2" t="s">
        <v>155</v>
      </c>
      <c r="D218" s="218"/>
      <c r="E218" s="218"/>
      <c r="F218" s="218"/>
      <c r="G218" s="218"/>
      <c r="H218" s="218"/>
      <c r="I218" s="218"/>
      <c r="J218" s="218"/>
      <c r="K218" s="218"/>
      <c r="L218" s="218"/>
      <c r="M218" s="209"/>
      <c r="N218" s="155"/>
    </row>
    <row r="219" spans="2:14" ht="18" customHeight="1" x14ac:dyDescent="0.35">
      <c r="B219" s="154"/>
      <c r="C219" s="29"/>
      <c r="D219" s="29"/>
      <c r="E219" s="29"/>
      <c r="F219" s="29"/>
      <c r="G219" s="29"/>
      <c r="H219" s="29"/>
      <c r="I219" s="29"/>
      <c r="J219" s="29"/>
      <c r="K219" s="29"/>
      <c r="L219" s="252" t="s">
        <v>156</v>
      </c>
      <c r="M219" s="209">
        <f>M215+1</f>
        <v>121</v>
      </c>
      <c r="N219" s="155"/>
    </row>
    <row r="220" spans="2:14" ht="12.75" customHeight="1" thickBot="1" x14ac:dyDescent="0.4">
      <c r="B220" s="159"/>
      <c r="C220" s="161"/>
      <c r="D220" s="160"/>
      <c r="E220" s="160"/>
      <c r="F220" s="160"/>
      <c r="G220" s="160"/>
      <c r="H220" s="160"/>
      <c r="I220" s="160"/>
      <c r="J220" s="184"/>
      <c r="K220" s="184"/>
      <c r="L220" s="160"/>
      <c r="M220" s="162"/>
      <c r="N220" s="163"/>
    </row>
    <row r="221" spans="2:14" ht="18" customHeight="1" thickBot="1" x14ac:dyDescent="0.4">
      <c r="B221" s="450" t="s">
        <v>157</v>
      </c>
      <c r="C221" s="451"/>
      <c r="D221" s="451"/>
      <c r="E221" s="451"/>
      <c r="F221" s="451"/>
      <c r="G221" s="451"/>
      <c r="H221" s="451"/>
      <c r="I221" s="451"/>
      <c r="J221" s="451"/>
      <c r="K221" s="451"/>
      <c r="L221" s="465" t="s">
        <v>26</v>
      </c>
      <c r="M221" s="465"/>
      <c r="N221" s="466"/>
    </row>
    <row r="222" spans="2:14" ht="18" customHeight="1" x14ac:dyDescent="0.35">
      <c r="B222" s="146"/>
      <c r="C222" s="147"/>
      <c r="D222" s="147"/>
      <c r="E222" s="147"/>
      <c r="F222" s="147"/>
      <c r="G222" s="147"/>
      <c r="H222" s="147"/>
      <c r="I222" s="147"/>
      <c r="J222" s="147"/>
      <c r="K222" s="147"/>
      <c r="L222" s="183"/>
      <c r="M222" s="148"/>
      <c r="N222" s="149"/>
    </row>
    <row r="223" spans="2:14" ht="30.75" customHeight="1" x14ac:dyDescent="0.35">
      <c r="B223" s="150"/>
      <c r="C223" s="41" t="s">
        <v>158</v>
      </c>
      <c r="D223" s="65"/>
      <c r="E223" s="65"/>
      <c r="F223" s="65"/>
      <c r="G223" s="65"/>
      <c r="H223" s="65"/>
      <c r="I223" s="65"/>
      <c r="J223" s="65"/>
      <c r="K223" s="65"/>
      <c r="L223" s="71" t="s">
        <v>79</v>
      </c>
      <c r="M223" s="12"/>
      <c r="N223" s="151"/>
    </row>
    <row r="224" spans="2:14" ht="18" customHeight="1" x14ac:dyDescent="0.35">
      <c r="B224" s="152">
        <f>B217+1</f>
        <v>92</v>
      </c>
      <c r="C224" s="2" t="e">
        <f>CONCATENATE("Number of Active Borrowers in ",Year,"-",Year-1999)</f>
        <v>#REF!</v>
      </c>
      <c r="D224" s="2"/>
      <c r="E224" s="2"/>
      <c r="F224" s="2"/>
      <c r="G224" s="2"/>
      <c r="H224" s="2"/>
      <c r="I224" s="2"/>
      <c r="J224" s="2"/>
      <c r="K224" s="39"/>
      <c r="L224" s="205">
        <v>88152</v>
      </c>
      <c r="M224" s="209">
        <f>M219+1</f>
        <v>122</v>
      </c>
      <c r="N224" s="155"/>
    </row>
    <row r="225" spans="2:14" ht="18" customHeight="1" x14ac:dyDescent="0.35">
      <c r="B225" s="152"/>
      <c r="C225" s="2"/>
      <c r="D225" s="2"/>
      <c r="E225" s="2"/>
      <c r="F225" s="2"/>
      <c r="G225" s="2"/>
      <c r="H225" s="2"/>
      <c r="I225" s="2"/>
      <c r="J225" s="2"/>
      <c r="K225" s="39"/>
      <c r="L225" s="35"/>
      <c r="M225" s="209"/>
      <c r="N225" s="155"/>
    </row>
    <row r="226" spans="2:14" ht="18" customHeight="1" x14ac:dyDescent="0.35">
      <c r="B226" s="152"/>
      <c r="C226" s="2"/>
      <c r="D226" s="2"/>
      <c r="E226" s="2"/>
      <c r="F226" s="468" t="e">
        <f>CONCATENATE("Number of Active Borrowers in ",Year-1,"-",Year-2000," (taken from last year's return)")</f>
        <v>#REF!</v>
      </c>
      <c r="G226" s="469"/>
      <c r="H226" s="469"/>
      <c r="I226" s="469"/>
      <c r="J226" s="469"/>
      <c r="K226" s="470"/>
      <c r="L226" s="333" t="e">
        <f>VLOOKUP(FLAS,LY_Data,123,FALSE)</f>
        <v>#REF!</v>
      </c>
      <c r="M226" s="209"/>
      <c r="N226" s="155"/>
    </row>
    <row r="227" spans="2:14" ht="3.75" customHeight="1" x14ac:dyDescent="0.35">
      <c r="B227" s="152"/>
      <c r="C227" s="452" t="e">
        <f>IF(OR(LIBR0092="..",L226=".."),"",IF(OR((LIBR0092/L226&gt;1.25),(LIBR0092/L226&lt;0.75)),"",""))</f>
        <v>#REF!</v>
      </c>
      <c r="D227" s="452"/>
      <c r="E227" s="452"/>
      <c r="F227" s="452"/>
      <c r="G227" s="452"/>
      <c r="H227" s="452"/>
      <c r="I227" s="452"/>
      <c r="J227" s="452"/>
      <c r="K227" s="452"/>
      <c r="L227" s="452"/>
      <c r="M227" s="209"/>
      <c r="N227" s="155"/>
    </row>
    <row r="228" spans="2:14" ht="18" customHeight="1" x14ac:dyDescent="0.35">
      <c r="B228" s="150"/>
      <c r="C228" s="452"/>
      <c r="D228" s="452"/>
      <c r="E228" s="452"/>
      <c r="F228" s="452"/>
      <c r="G228" s="452"/>
      <c r="H228" s="452"/>
      <c r="I228" s="452"/>
      <c r="J228" s="452"/>
      <c r="K228" s="452"/>
      <c r="L228" s="452"/>
      <c r="M228" s="109"/>
      <c r="N228" s="151"/>
    </row>
    <row r="229" spans="2:14" ht="18" customHeight="1" x14ac:dyDescent="0.35">
      <c r="B229" s="154"/>
      <c r="C229" s="41" t="s">
        <v>159</v>
      </c>
      <c r="D229" s="73"/>
      <c r="E229" s="73"/>
      <c r="F229" s="66"/>
      <c r="G229" s="66"/>
      <c r="H229" s="66"/>
      <c r="I229" s="67"/>
      <c r="J229" s="66"/>
      <c r="K229" s="66"/>
      <c r="L229" s="71" t="s">
        <v>79</v>
      </c>
      <c r="M229" s="110"/>
      <c r="N229" s="155"/>
    </row>
    <row r="230" spans="2:14" ht="18" customHeight="1" x14ac:dyDescent="0.35">
      <c r="B230" s="152">
        <f>B224+1</f>
        <v>93</v>
      </c>
      <c r="C230" s="2" t="e">
        <f>CONCATENATE("Number of Housebound Readers in ",Year,"-",Year-1999)</f>
        <v>#REF!</v>
      </c>
      <c r="D230" s="2"/>
      <c r="E230" s="2"/>
      <c r="F230" s="2"/>
      <c r="G230" s="2"/>
      <c r="H230" s="2"/>
      <c r="I230" s="2"/>
      <c r="J230" s="2"/>
      <c r="K230" s="39"/>
      <c r="L230" s="205">
        <v>93</v>
      </c>
      <c r="M230" s="209">
        <f>M224+1</f>
        <v>123</v>
      </c>
      <c r="N230" s="155" t="b">
        <v>1</v>
      </c>
    </row>
    <row r="231" spans="2:14" ht="18" customHeight="1" x14ac:dyDescent="0.35">
      <c r="B231" s="152"/>
      <c r="C231" s="2"/>
      <c r="D231" s="2"/>
      <c r="E231" s="2"/>
      <c r="F231" s="2"/>
      <c r="G231" s="2"/>
      <c r="H231" s="2"/>
      <c r="I231" s="66"/>
      <c r="J231" s="66"/>
      <c r="K231" s="66"/>
      <c r="L231" s="2"/>
      <c r="M231" s="3"/>
      <c r="N231" s="155"/>
    </row>
    <row r="232" spans="2:14" ht="18" customHeight="1" x14ac:dyDescent="0.35">
      <c r="B232" s="152"/>
      <c r="C232" s="41" t="s">
        <v>160</v>
      </c>
      <c r="D232" s="73"/>
      <c r="E232" s="73"/>
      <c r="F232" s="66"/>
      <c r="G232" s="66"/>
      <c r="H232" s="66"/>
      <c r="I232" s="66"/>
      <c r="J232" s="66"/>
      <c r="K232" s="66"/>
      <c r="L232" s="71" t="s">
        <v>161</v>
      </c>
      <c r="M232" s="110"/>
      <c r="N232" s="155"/>
    </row>
    <row r="233" spans="2:14" ht="18" customHeight="1" x14ac:dyDescent="0.35">
      <c r="B233" s="152">
        <f>B230+1</f>
        <v>94</v>
      </c>
      <c r="C233" s="2" t="s">
        <v>162</v>
      </c>
      <c r="D233" s="2"/>
      <c r="E233" s="2"/>
      <c r="F233" s="2"/>
      <c r="G233" s="2"/>
      <c r="H233" s="2"/>
      <c r="I233" s="2"/>
      <c r="J233" s="2"/>
      <c r="K233" s="39"/>
      <c r="L233" s="206">
        <v>1219917</v>
      </c>
      <c r="M233" s="209">
        <f>M230+1</f>
        <v>124</v>
      </c>
      <c r="N233" s="155" t="b">
        <v>0</v>
      </c>
    </row>
    <row r="234" spans="2:14" ht="18" customHeight="1" x14ac:dyDescent="0.35">
      <c r="B234" s="152"/>
      <c r="C234" s="2"/>
      <c r="D234" s="2"/>
      <c r="E234" s="2"/>
      <c r="F234" s="2"/>
      <c r="G234" s="2"/>
      <c r="H234" s="2"/>
      <c r="I234" s="2"/>
      <c r="J234" s="2"/>
      <c r="K234" s="39"/>
      <c r="L234" s="35"/>
      <c r="M234" s="209"/>
      <c r="N234" s="155"/>
    </row>
    <row r="235" spans="2:14" ht="18" customHeight="1" x14ac:dyDescent="0.35">
      <c r="B235" s="481" t="e">
        <f>CONCATENATE("Number of physical visits to library premises for library purposes in ",Year-1,"-",Year-2000," (taken from last year's return)")</f>
        <v>#REF!</v>
      </c>
      <c r="C235" s="468"/>
      <c r="D235" s="468"/>
      <c r="E235" s="468"/>
      <c r="F235" s="468"/>
      <c r="G235" s="468"/>
      <c r="H235" s="468"/>
      <c r="I235" s="468"/>
      <c r="J235" s="468"/>
      <c r="K235" s="482"/>
      <c r="L235" s="333" t="e">
        <f>VLOOKUP(FLAS,LY_Data,125,FALSE)</f>
        <v>#REF!</v>
      </c>
      <c r="M235" s="209"/>
      <c r="N235" s="155"/>
    </row>
    <row r="236" spans="2:14" ht="3.75" customHeight="1" x14ac:dyDescent="0.35">
      <c r="B236" s="334"/>
      <c r="C236" s="452" t="e">
        <f>IF(OR(LIBR0094="..",L235=".."),"",IF(OR((LIBR0094/L235&gt;1.25),(LIBR0094/L235&lt;0.75)),"",""))</f>
        <v>#REF!</v>
      </c>
      <c r="D236" s="452"/>
      <c r="E236" s="452"/>
      <c r="F236" s="452"/>
      <c r="G236" s="452"/>
      <c r="H236" s="452"/>
      <c r="I236" s="452"/>
      <c r="J236" s="452"/>
      <c r="K236" s="452"/>
      <c r="L236" s="452"/>
      <c r="M236" s="209"/>
      <c r="N236" s="155"/>
    </row>
    <row r="237" spans="2:14" ht="18" customHeight="1" x14ac:dyDescent="0.35">
      <c r="B237" s="334"/>
      <c r="C237" s="452"/>
      <c r="D237" s="452"/>
      <c r="E237" s="452"/>
      <c r="F237" s="452"/>
      <c r="G237" s="452"/>
      <c r="H237" s="452"/>
      <c r="I237" s="452"/>
      <c r="J237" s="452"/>
      <c r="K237" s="452"/>
      <c r="L237" s="452"/>
      <c r="M237" s="209"/>
      <c r="N237" s="155"/>
    </row>
    <row r="238" spans="2:14" ht="18" customHeight="1" x14ac:dyDescent="0.35">
      <c r="B238" s="152"/>
      <c r="C238" s="29"/>
      <c r="D238" s="29"/>
      <c r="E238" s="29"/>
      <c r="F238" s="29"/>
      <c r="G238" s="29"/>
      <c r="H238" s="29"/>
      <c r="I238" s="29"/>
      <c r="J238" s="29"/>
      <c r="K238" s="29"/>
      <c r="L238" s="71" t="s">
        <v>161</v>
      </c>
      <c r="M238" s="1"/>
      <c r="N238" s="155"/>
    </row>
    <row r="239" spans="2:14" ht="18" customHeight="1" x14ac:dyDescent="0.35">
      <c r="B239" s="152">
        <f>B233+1</f>
        <v>95</v>
      </c>
      <c r="C239" s="2" t="s">
        <v>163</v>
      </c>
      <c r="D239" s="2"/>
      <c r="E239" s="2"/>
      <c r="F239" s="2"/>
      <c r="G239" s="2"/>
      <c r="H239" s="2"/>
      <c r="I239" s="2"/>
      <c r="J239" s="2"/>
      <c r="K239" s="39"/>
      <c r="L239" s="207" t="s">
        <v>6</v>
      </c>
      <c r="M239" s="209">
        <f>M233+1</f>
        <v>125</v>
      </c>
      <c r="N239" s="155"/>
    </row>
    <row r="240" spans="2:14" ht="18" customHeight="1" x14ac:dyDescent="0.35">
      <c r="B240" s="152"/>
      <c r="C240" s="530" t="s">
        <v>164</v>
      </c>
      <c r="D240" s="530"/>
      <c r="E240" s="530"/>
      <c r="F240" s="530"/>
      <c r="G240" s="530"/>
      <c r="H240" s="530"/>
      <c r="I240" s="530"/>
      <c r="J240" s="530"/>
      <c r="K240" s="530"/>
      <c r="L240" s="530"/>
      <c r="M240" s="530"/>
      <c r="N240" s="155"/>
    </row>
    <row r="241" spans="2:14" ht="18" customHeight="1" x14ac:dyDescent="0.35">
      <c r="B241" s="152"/>
      <c r="C241" s="530" t="s">
        <v>165</v>
      </c>
      <c r="D241" s="530"/>
      <c r="E241" s="530"/>
      <c r="F241" s="530"/>
      <c r="G241" s="530"/>
      <c r="H241" s="530"/>
      <c r="I241" s="530"/>
      <c r="J241" s="530"/>
      <c r="K241" s="530"/>
      <c r="L241" s="530"/>
      <c r="M241" s="530"/>
      <c r="N241" s="155"/>
    </row>
    <row r="242" spans="2:14" ht="18" customHeight="1" x14ac:dyDescent="0.35">
      <c r="B242" s="152"/>
      <c r="C242" s="2" t="s">
        <v>166</v>
      </c>
      <c r="D242" s="2"/>
      <c r="E242" s="2"/>
      <c r="F242" s="2"/>
      <c r="G242" s="2"/>
      <c r="H242" s="2"/>
      <c r="I242" s="2"/>
      <c r="J242" s="2"/>
      <c r="K242" s="2"/>
      <c r="L242" s="2"/>
      <c r="M242" s="1"/>
      <c r="N242" s="155"/>
    </row>
    <row r="243" spans="2:14" ht="12.75" customHeight="1" x14ac:dyDescent="0.35">
      <c r="B243" s="152"/>
      <c r="C243" s="3" t="s">
        <v>167</v>
      </c>
      <c r="D243" s="2"/>
      <c r="E243" s="2"/>
      <c r="F243" s="2"/>
      <c r="G243" s="2"/>
      <c r="H243" s="2"/>
      <c r="I243" s="66"/>
      <c r="J243" s="66"/>
      <c r="K243" s="66"/>
      <c r="L243" s="2"/>
      <c r="M243" s="1"/>
      <c r="N243" s="155"/>
    </row>
    <row r="244" spans="2:14" ht="12.75" customHeight="1" x14ac:dyDescent="0.35">
      <c r="B244" s="152"/>
      <c r="C244" s="3"/>
      <c r="D244" s="2"/>
      <c r="E244" s="2"/>
      <c r="F244" s="2"/>
      <c r="G244" s="2"/>
      <c r="H244" s="2"/>
      <c r="I244" s="66"/>
      <c r="J244" s="66"/>
      <c r="K244" s="66"/>
      <c r="L244" s="2"/>
      <c r="M244" s="1"/>
      <c r="N244" s="155"/>
    </row>
    <row r="245" spans="2:14" ht="18" customHeight="1" x14ac:dyDescent="0.35">
      <c r="B245" s="152">
        <f>B239+1</f>
        <v>96</v>
      </c>
      <c r="C245" s="530" t="s">
        <v>168</v>
      </c>
      <c r="D245" s="530"/>
      <c r="E245" s="530"/>
      <c r="F245" s="530"/>
      <c r="G245" s="530"/>
      <c r="H245" s="530"/>
      <c r="I245" s="530"/>
      <c r="J245" s="530"/>
      <c r="K245" s="530"/>
      <c r="L245" s="530"/>
      <c r="M245" s="530"/>
      <c r="N245" s="531"/>
    </row>
    <row r="246" spans="2:14" ht="18" customHeight="1" x14ac:dyDescent="0.35">
      <c r="B246" s="152"/>
      <c r="C246" s="2" t="s">
        <v>155</v>
      </c>
      <c r="D246" s="29"/>
      <c r="E246" s="29"/>
      <c r="F246" s="29"/>
      <c r="G246" s="29"/>
      <c r="H246" s="29"/>
      <c r="I246" s="29"/>
      <c r="J246" s="29"/>
      <c r="K246" s="29"/>
      <c r="L246" s="29"/>
      <c r="M246" s="1"/>
      <c r="N246" s="155"/>
    </row>
    <row r="247" spans="2:14" ht="18" customHeight="1" x14ac:dyDescent="0.35">
      <c r="B247" s="152"/>
      <c r="C247" s="29"/>
      <c r="D247" s="29"/>
      <c r="E247" s="29"/>
      <c r="F247" s="29"/>
      <c r="G247" s="29"/>
      <c r="H247" s="29"/>
      <c r="I247" s="29"/>
      <c r="J247" s="29"/>
      <c r="K247" s="29"/>
      <c r="L247" s="253" t="s">
        <v>156</v>
      </c>
      <c r="M247" s="209">
        <f>M239+1</f>
        <v>126</v>
      </c>
      <c r="N247" s="155"/>
    </row>
    <row r="248" spans="2:14" ht="12.75" customHeight="1" x14ac:dyDescent="0.35">
      <c r="B248" s="152"/>
      <c r="C248" s="9"/>
      <c r="D248" s="32"/>
      <c r="E248" s="32"/>
      <c r="F248" s="3"/>
      <c r="G248" s="84"/>
      <c r="H248" s="33"/>
      <c r="I248" s="84"/>
      <c r="J248" s="34"/>
      <c r="K248" s="34"/>
      <c r="L248" s="71" t="s">
        <v>79</v>
      </c>
      <c r="M248" s="66"/>
      <c r="N248" s="155"/>
    </row>
    <row r="249" spans="2:14" ht="18" customHeight="1" x14ac:dyDescent="0.35">
      <c r="B249" s="152">
        <f>B245+1</f>
        <v>97</v>
      </c>
      <c r="C249" s="2" t="s">
        <v>169</v>
      </c>
      <c r="D249" s="2"/>
      <c r="E249" s="2"/>
      <c r="F249" s="2"/>
      <c r="G249" s="2"/>
      <c r="H249" s="2"/>
      <c r="I249" s="2"/>
      <c r="J249" s="2"/>
      <c r="K249" s="39"/>
      <c r="L249" s="208" t="s">
        <v>6</v>
      </c>
      <c r="M249" s="209">
        <f>M247+1</f>
        <v>127</v>
      </c>
      <c r="N249" s="155"/>
    </row>
    <row r="250" spans="2:14" ht="18" customHeight="1" x14ac:dyDescent="0.35">
      <c r="B250" s="152"/>
      <c r="C250" s="2"/>
      <c r="D250" s="2"/>
      <c r="E250" s="2"/>
      <c r="F250" s="2"/>
      <c r="G250" s="2"/>
      <c r="H250" s="2"/>
      <c r="I250" s="66"/>
      <c r="J250" s="66"/>
      <c r="K250" s="66"/>
      <c r="L250" s="68"/>
      <c r="M250" s="37"/>
      <c r="N250" s="155"/>
    </row>
    <row r="251" spans="2:14" ht="18" customHeight="1" x14ac:dyDescent="0.35">
      <c r="B251" s="152"/>
      <c r="C251" s="41" t="s">
        <v>170</v>
      </c>
      <c r="D251" s="73"/>
      <c r="E251" s="73"/>
      <c r="F251" s="66"/>
      <c r="G251" s="66"/>
      <c r="H251" s="66"/>
      <c r="I251" s="2"/>
      <c r="J251" s="67"/>
      <c r="K251" s="67"/>
      <c r="L251" s="71" t="s">
        <v>79</v>
      </c>
      <c r="M251" s="110"/>
      <c r="N251" s="155"/>
    </row>
    <row r="252" spans="2:14" ht="18" customHeight="1" x14ac:dyDescent="0.35">
      <c r="B252" s="152">
        <f>B249+1</f>
        <v>98</v>
      </c>
      <c r="C252" s="2" t="e">
        <f>CONCATENATE("Estimated number of visits to the network resource (website) in ",Year,"-",Year-1999)</f>
        <v>#REF!</v>
      </c>
      <c r="D252" s="2"/>
      <c r="E252" s="2"/>
      <c r="F252" s="2"/>
      <c r="G252" s="2"/>
      <c r="H252" s="2"/>
      <c r="I252" s="2"/>
      <c r="J252" s="2"/>
      <c r="K252" s="39"/>
      <c r="L252" s="205">
        <v>6745377</v>
      </c>
      <c r="M252" s="209">
        <f>M249+1</f>
        <v>128</v>
      </c>
      <c r="N252" s="155" t="b">
        <v>0</v>
      </c>
    </row>
    <row r="253" spans="2:14" ht="18" customHeight="1" thickBot="1" x14ac:dyDescent="0.4">
      <c r="B253" s="159"/>
      <c r="C253" s="161"/>
      <c r="D253" s="160"/>
      <c r="E253" s="160"/>
      <c r="F253" s="160"/>
      <c r="G253" s="160"/>
      <c r="H253" s="160"/>
      <c r="I253" s="160"/>
      <c r="J253" s="184"/>
      <c r="K253" s="184"/>
      <c r="L253" s="160"/>
      <c r="M253" s="162"/>
      <c r="N253" s="163"/>
    </row>
    <row r="254" spans="2:14" ht="18" customHeight="1" thickBot="1" x14ac:dyDescent="0.4">
      <c r="B254" s="476" t="s">
        <v>171</v>
      </c>
      <c r="C254" s="477"/>
      <c r="D254" s="477"/>
      <c r="E254" s="477"/>
      <c r="F254" s="477"/>
      <c r="G254" s="477"/>
      <c r="H254" s="477"/>
      <c r="I254" s="477"/>
      <c r="J254" s="477"/>
      <c r="K254" s="477"/>
      <c r="L254" s="465" t="s">
        <v>26</v>
      </c>
      <c r="M254" s="465"/>
      <c r="N254" s="466"/>
    </row>
    <row r="255" spans="2:14" ht="18" customHeight="1" x14ac:dyDescent="0.35">
      <c r="B255" s="226"/>
      <c r="C255" s="227"/>
      <c r="D255" s="228"/>
      <c r="E255" s="229"/>
      <c r="F255" s="229"/>
      <c r="G255" s="229"/>
      <c r="H255" s="229"/>
      <c r="I255" s="229"/>
      <c r="J255" s="229"/>
      <c r="K255" s="229"/>
      <c r="L255" s="230"/>
      <c r="M255" s="231"/>
      <c r="N255" s="232"/>
    </row>
    <row r="256" spans="2:14" ht="18" customHeight="1" x14ac:dyDescent="0.35">
      <c r="B256" s="233"/>
      <c r="C256" s="72"/>
      <c r="D256" s="85"/>
      <c r="E256" s="66"/>
      <c r="F256" s="66"/>
      <c r="G256" s="66"/>
      <c r="H256" s="66"/>
      <c r="I256" s="66"/>
      <c r="J256" s="66"/>
      <c r="K256" s="66"/>
      <c r="L256" s="71" t="s">
        <v>79</v>
      </c>
      <c r="M256" s="13"/>
      <c r="N256" s="234"/>
    </row>
    <row r="257" spans="2:14" ht="18" customHeight="1" x14ac:dyDescent="0.35">
      <c r="B257" s="235">
        <f>B252+1</f>
        <v>99</v>
      </c>
      <c r="C257" s="2" t="s">
        <v>172</v>
      </c>
      <c r="D257" s="2"/>
      <c r="E257" s="20"/>
      <c r="F257" s="20"/>
      <c r="G257" s="2"/>
      <c r="H257" s="2"/>
      <c r="I257" s="66"/>
      <c r="J257" s="66"/>
      <c r="K257" s="66"/>
      <c r="L257" s="205">
        <v>9</v>
      </c>
      <c r="M257" s="209">
        <f>M252+1</f>
        <v>129</v>
      </c>
      <c r="N257" s="234"/>
    </row>
    <row r="258" spans="2:14" ht="18" customHeight="1" x14ac:dyDescent="0.35">
      <c r="B258" s="235">
        <f>B257+1</f>
        <v>100</v>
      </c>
      <c r="C258" s="2" t="s">
        <v>173</v>
      </c>
      <c r="D258" s="2"/>
      <c r="E258" s="2"/>
      <c r="F258" s="2"/>
      <c r="G258" s="2"/>
      <c r="H258" s="2"/>
      <c r="I258" s="66"/>
      <c r="J258" s="66"/>
      <c r="K258" s="66"/>
      <c r="L258" s="205">
        <v>19</v>
      </c>
      <c r="M258" s="209">
        <f>M257+1</f>
        <v>130</v>
      </c>
      <c r="N258" s="234"/>
    </row>
    <row r="259" spans="2:14" ht="18" customHeight="1" thickBot="1" x14ac:dyDescent="0.4">
      <c r="B259" s="236"/>
      <c r="C259" s="485"/>
      <c r="D259" s="485"/>
      <c r="E259" s="485"/>
      <c r="F259" s="485"/>
      <c r="G259" s="485"/>
      <c r="H259" s="485"/>
      <c r="I259" s="485"/>
      <c r="J259" s="485"/>
      <c r="K259" s="237"/>
      <c r="L259" s="238"/>
      <c r="M259" s="239"/>
      <c r="N259" s="240"/>
    </row>
    <row r="260" spans="2:14" ht="18" customHeight="1" thickBot="1" x14ac:dyDescent="0.4">
      <c r="B260" s="479" t="s">
        <v>174</v>
      </c>
      <c r="C260" s="480"/>
      <c r="D260" s="480"/>
      <c r="E260" s="480"/>
      <c r="F260" s="480"/>
      <c r="G260" s="480"/>
      <c r="H260" s="480"/>
      <c r="I260" s="480"/>
      <c r="J260" s="480"/>
      <c r="K260" s="480"/>
      <c r="L260" s="465" t="s">
        <v>26</v>
      </c>
      <c r="M260" s="465"/>
      <c r="N260" s="466"/>
    </row>
    <row r="261" spans="2:14" ht="18" customHeight="1" x14ac:dyDescent="0.35">
      <c r="B261" s="492" t="s">
        <v>175</v>
      </c>
      <c r="C261" s="493"/>
      <c r="D261" s="493"/>
      <c r="E261" s="493"/>
      <c r="F261" s="493"/>
      <c r="G261" s="493"/>
      <c r="H261" s="493"/>
      <c r="I261" s="493"/>
      <c r="J261" s="493"/>
      <c r="K261" s="493"/>
      <c r="L261" s="493"/>
      <c r="M261" s="493"/>
      <c r="N261" s="494"/>
    </row>
    <row r="262" spans="2:14" ht="18" customHeight="1" x14ac:dyDescent="0.35">
      <c r="B262" s="52"/>
      <c r="C262" s="464" t="str">
        <f>IF(OR(J316="..",L316=".."),"Please check all '..' entered are unknown values and are not 0 or included in another cell.",0)</f>
        <v>Please check all '..' entered are unknown values and are not 0 or included in another cell.</v>
      </c>
      <c r="D262" s="464"/>
      <c r="E262" s="464"/>
      <c r="F262" s="464"/>
      <c r="G262" s="464"/>
      <c r="H262" s="464"/>
      <c r="I262" s="464"/>
      <c r="J262" s="464"/>
      <c r="K262" s="464"/>
      <c r="L262" s="464"/>
      <c r="M262" s="86"/>
      <c r="N262" s="151"/>
    </row>
    <row r="263" spans="2:14" ht="18" customHeight="1" x14ac:dyDescent="0.35">
      <c r="B263" s="185" t="s">
        <v>176</v>
      </c>
      <c r="C263" s="80"/>
      <c r="D263" s="71"/>
      <c r="E263" s="71"/>
      <c r="F263" s="71"/>
      <c r="G263" s="71"/>
      <c r="H263" s="71"/>
      <c r="I263" s="8"/>
      <c r="J263" s="71" t="e">
        <f>CONCATENATE(Year,"-",Year-1999," Outturn")</f>
        <v>#REF!</v>
      </c>
      <c r="K263" s="8"/>
      <c r="L263" s="71" t="e">
        <f>CONCATENATE(Year+1,"-",Year-1998," Estimates")</f>
        <v>#REF!</v>
      </c>
      <c r="M263" s="71"/>
      <c r="N263" s="186"/>
    </row>
    <row r="264" spans="2:14" ht="18" customHeight="1" x14ac:dyDescent="0.35">
      <c r="B264" s="172"/>
      <c r="C264" s="87" t="str">
        <f>CONCATENATE("Revenue Expenditure (excluding Capital Charges - See Line ",B323,")")</f>
        <v>Revenue Expenditure (excluding Capital Charges - See Line 140)</v>
      </c>
      <c r="D264" s="66"/>
      <c r="E264" s="66"/>
      <c r="F264" s="66"/>
      <c r="G264" s="66"/>
      <c r="H264" s="66"/>
      <c r="I264" s="13"/>
      <c r="J264" s="71" t="s">
        <v>177</v>
      </c>
      <c r="K264" s="8"/>
      <c r="L264" s="71" t="s">
        <v>177</v>
      </c>
      <c r="M264" s="88"/>
      <c r="N264" s="155"/>
    </row>
    <row r="265" spans="2:14" ht="18" customHeight="1" x14ac:dyDescent="0.35">
      <c r="B265" s="152">
        <f>B258+1</f>
        <v>101</v>
      </c>
      <c r="C265" s="2" t="s">
        <v>178</v>
      </c>
      <c r="D265" s="66"/>
      <c r="E265" s="66"/>
      <c r="F265" s="66"/>
      <c r="G265" s="66"/>
      <c r="H265" s="66"/>
      <c r="I265" s="13"/>
      <c r="J265" s="203">
        <v>7119282</v>
      </c>
      <c r="K265" s="209">
        <f>M258+1</f>
        <v>131</v>
      </c>
      <c r="L265" s="203">
        <v>7361338</v>
      </c>
      <c r="M265" s="209">
        <f>K323+1</f>
        <v>170</v>
      </c>
      <c r="N265" s="155"/>
    </row>
    <row r="266" spans="2:14" ht="18" customHeight="1" x14ac:dyDescent="0.35">
      <c r="B266" s="152">
        <f>B265+1</f>
        <v>102</v>
      </c>
      <c r="C266" s="2" t="s">
        <v>179</v>
      </c>
      <c r="D266" s="66"/>
      <c r="E266" s="66"/>
      <c r="F266" s="66"/>
      <c r="G266" s="66"/>
      <c r="H266" s="66"/>
      <c r="I266" s="13"/>
      <c r="J266" s="203">
        <v>1438119</v>
      </c>
      <c r="K266" s="209">
        <f>K265+1</f>
        <v>132</v>
      </c>
      <c r="L266" s="203">
        <v>1303010</v>
      </c>
      <c r="M266" s="209">
        <f>M265+1</f>
        <v>171</v>
      </c>
      <c r="N266" s="155"/>
    </row>
    <row r="267" spans="2:14" ht="18" customHeight="1" x14ac:dyDescent="0.35">
      <c r="B267" s="172"/>
      <c r="C267" s="2" t="s">
        <v>180</v>
      </c>
      <c r="D267" s="66"/>
      <c r="E267" s="66"/>
      <c r="F267" s="66"/>
      <c r="G267" s="66"/>
      <c r="H267" s="66"/>
      <c r="I267" s="21"/>
      <c r="J267" s="66"/>
      <c r="K267" s="66"/>
      <c r="L267" s="66"/>
      <c r="M267" s="89"/>
      <c r="N267" s="155"/>
    </row>
    <row r="268" spans="2:14" ht="18" customHeight="1" x14ac:dyDescent="0.35">
      <c r="B268" s="172"/>
      <c r="C268" s="2"/>
      <c r="D268" s="2" t="e">
        <f>CONCATENATE("Books &amp; Pamphlets (enter here the amount spent in ",Year,"-",Year-1999," to purchase books &amp; pamphlets for your libraries):")</f>
        <v>#REF!</v>
      </c>
      <c r="E268" s="66"/>
      <c r="F268" s="66"/>
      <c r="G268" s="66"/>
      <c r="H268" s="66"/>
      <c r="I268" s="21"/>
      <c r="J268" s="66"/>
      <c r="K268" s="66"/>
      <c r="L268" s="66"/>
      <c r="M268" s="89"/>
      <c r="N268" s="155"/>
    </row>
    <row r="269" spans="2:14" ht="18" customHeight="1" x14ac:dyDescent="0.35">
      <c r="B269" s="152">
        <f>B266+1</f>
        <v>103</v>
      </c>
      <c r="C269" s="66"/>
      <c r="D269" s="22" t="s">
        <v>181</v>
      </c>
      <c r="E269" s="66"/>
      <c r="F269" s="66"/>
      <c r="G269" s="66"/>
      <c r="H269" s="90"/>
      <c r="I269" s="21"/>
      <c r="J269" s="203">
        <v>10556</v>
      </c>
      <c r="K269" s="209">
        <f>K266+1</f>
        <v>133</v>
      </c>
      <c r="L269" s="21"/>
      <c r="M269" s="23"/>
      <c r="N269" s="155"/>
    </row>
    <row r="270" spans="2:14" ht="18" customHeight="1" x14ac:dyDescent="0.35">
      <c r="B270" s="152">
        <f t="shared" ref="B270:B289" si="9">B269+1</f>
        <v>104</v>
      </c>
      <c r="C270" s="66"/>
      <c r="D270" s="22" t="s">
        <v>98</v>
      </c>
      <c r="E270" s="66"/>
      <c r="F270" s="66"/>
      <c r="G270" s="66"/>
      <c r="H270" s="90"/>
      <c r="I270" s="21"/>
      <c r="J270" s="203">
        <v>142000</v>
      </c>
      <c r="K270" s="209">
        <f t="shared" ref="K270:K286" si="10">K269+1</f>
        <v>134</v>
      </c>
      <c r="L270" s="21"/>
      <c r="M270" s="23"/>
      <c r="N270" s="155"/>
    </row>
    <row r="271" spans="2:14" ht="18" customHeight="1" x14ac:dyDescent="0.35">
      <c r="B271" s="152">
        <f t="shared" si="9"/>
        <v>105</v>
      </c>
      <c r="C271" s="66"/>
      <c r="D271" s="22" t="s">
        <v>99</v>
      </c>
      <c r="E271" s="66"/>
      <c r="F271" s="66"/>
      <c r="G271" s="66"/>
      <c r="H271" s="90"/>
      <c r="I271" s="21"/>
      <c r="J271" s="203">
        <v>94686</v>
      </c>
      <c r="K271" s="209">
        <f t="shared" si="10"/>
        <v>135</v>
      </c>
      <c r="L271" s="21"/>
      <c r="M271" s="23"/>
      <c r="N271" s="155"/>
    </row>
    <row r="272" spans="2:14" ht="18" customHeight="1" x14ac:dyDescent="0.35">
      <c r="B272" s="152">
        <f t="shared" si="9"/>
        <v>106</v>
      </c>
      <c r="C272" s="66"/>
      <c r="D272" s="22" t="s">
        <v>100</v>
      </c>
      <c r="E272" s="66"/>
      <c r="F272" s="66"/>
      <c r="G272" s="66"/>
      <c r="H272" s="90"/>
      <c r="I272" s="21"/>
      <c r="J272" s="203">
        <v>103961</v>
      </c>
      <c r="K272" s="209">
        <f t="shared" si="10"/>
        <v>136</v>
      </c>
      <c r="L272" s="21"/>
      <c r="M272" s="23"/>
      <c r="N272" s="155"/>
    </row>
    <row r="273" spans="2:14" ht="18" customHeight="1" x14ac:dyDescent="0.35">
      <c r="B273" s="152">
        <f t="shared" si="9"/>
        <v>107</v>
      </c>
      <c r="C273" s="66"/>
      <c r="D273" s="22" t="s">
        <v>101</v>
      </c>
      <c r="E273" s="66"/>
      <c r="F273" s="66"/>
      <c r="G273" s="66"/>
      <c r="H273" s="90"/>
      <c r="I273" s="21"/>
      <c r="J273" s="203">
        <v>21212</v>
      </c>
      <c r="K273" s="209">
        <f t="shared" si="10"/>
        <v>137</v>
      </c>
      <c r="L273" s="21"/>
      <c r="M273" s="23"/>
      <c r="N273" s="155"/>
    </row>
    <row r="274" spans="2:14" ht="18" customHeight="1" x14ac:dyDescent="0.35">
      <c r="B274" s="152">
        <f t="shared" si="9"/>
        <v>108</v>
      </c>
      <c r="C274" s="66"/>
      <c r="D274" s="2" t="s">
        <v>182</v>
      </c>
      <c r="E274" s="66"/>
      <c r="F274" s="66"/>
      <c r="G274" s="66"/>
      <c r="H274" s="66"/>
      <c r="I274" s="21"/>
      <c r="J274" s="203">
        <v>19699</v>
      </c>
      <c r="K274" s="209">
        <f t="shared" si="10"/>
        <v>138</v>
      </c>
      <c r="L274" s="21"/>
      <c r="M274" s="23"/>
      <c r="N274" s="155"/>
    </row>
    <row r="275" spans="2:14" ht="18" customHeight="1" x14ac:dyDescent="0.35">
      <c r="B275" s="152">
        <f t="shared" si="9"/>
        <v>109</v>
      </c>
      <c r="C275" s="66"/>
      <c r="D275" s="2" t="s">
        <v>112</v>
      </c>
      <c r="E275" s="66"/>
      <c r="F275" s="66"/>
      <c r="G275" s="66"/>
      <c r="H275" s="66"/>
      <c r="I275" s="21"/>
      <c r="J275" s="203">
        <v>28837</v>
      </c>
      <c r="K275" s="209">
        <f t="shared" si="10"/>
        <v>139</v>
      </c>
      <c r="L275" s="21"/>
      <c r="M275" s="23"/>
      <c r="N275" s="155"/>
    </row>
    <row r="276" spans="2:14" ht="18" customHeight="1" x14ac:dyDescent="0.35">
      <c r="B276" s="152">
        <f t="shared" si="9"/>
        <v>110</v>
      </c>
      <c r="C276" s="66"/>
      <c r="D276" s="2" t="s">
        <v>113</v>
      </c>
      <c r="E276" s="66"/>
      <c r="F276" s="66"/>
      <c r="G276" s="66"/>
      <c r="H276" s="66"/>
      <c r="I276" s="21"/>
      <c r="J276" s="203">
        <v>0</v>
      </c>
      <c r="K276" s="209">
        <f t="shared" si="10"/>
        <v>140</v>
      </c>
      <c r="L276" s="21"/>
      <c r="M276" s="23"/>
      <c r="N276" s="155"/>
    </row>
    <row r="277" spans="2:14" ht="18" customHeight="1" x14ac:dyDescent="0.35">
      <c r="B277" s="478">
        <f>B276+1</f>
        <v>111</v>
      </c>
      <c r="C277" s="66"/>
      <c r="D277" s="467" t="s">
        <v>111</v>
      </c>
      <c r="E277" s="467"/>
      <c r="F277" s="467"/>
      <c r="G277" s="467"/>
      <c r="H277" s="467"/>
      <c r="I277" s="111"/>
      <c r="J277" s="203">
        <v>832</v>
      </c>
      <c r="K277" s="209">
        <f t="shared" si="10"/>
        <v>141</v>
      </c>
      <c r="L277" s="21"/>
      <c r="M277" s="23"/>
      <c r="N277" s="155"/>
    </row>
    <row r="278" spans="2:14" ht="18" customHeight="1" x14ac:dyDescent="0.35">
      <c r="B278" s="478"/>
      <c r="C278" s="66"/>
      <c r="D278" s="467"/>
      <c r="E278" s="467"/>
      <c r="F278" s="467"/>
      <c r="G278" s="467"/>
      <c r="H278" s="467"/>
      <c r="I278" s="111"/>
      <c r="J278" s="66"/>
      <c r="K278" s="209"/>
      <c r="L278" s="21"/>
      <c r="M278" s="23"/>
      <c r="N278" s="155"/>
    </row>
    <row r="279" spans="2:14" ht="18" customHeight="1" x14ac:dyDescent="0.35">
      <c r="B279" s="152">
        <f>B277+1</f>
        <v>112</v>
      </c>
      <c r="C279" s="66"/>
      <c r="D279" s="2" t="s">
        <v>117</v>
      </c>
      <c r="E279" s="66"/>
      <c r="F279" s="66"/>
      <c r="G279" s="66"/>
      <c r="H279" s="66"/>
      <c r="I279" s="21"/>
      <c r="J279" s="203">
        <v>66600</v>
      </c>
      <c r="K279" s="209">
        <f>K277+1</f>
        <v>142</v>
      </c>
      <c r="L279" s="21"/>
      <c r="M279" s="23"/>
      <c r="N279" s="155"/>
    </row>
    <row r="280" spans="2:14" ht="12" customHeight="1" x14ac:dyDescent="0.35">
      <c r="B280" s="152">
        <f>B279+1</f>
        <v>113</v>
      </c>
      <c r="C280" s="66"/>
      <c r="D280" s="2" t="s">
        <v>118</v>
      </c>
      <c r="E280" s="66"/>
      <c r="F280" s="66"/>
      <c r="G280" s="66"/>
      <c r="H280" s="66"/>
      <c r="I280" s="21"/>
      <c r="J280" s="203">
        <v>27334</v>
      </c>
      <c r="K280" s="209">
        <f>K279+1</f>
        <v>143</v>
      </c>
      <c r="L280" s="21"/>
      <c r="M280" s="23"/>
      <c r="N280" s="155"/>
    </row>
    <row r="281" spans="2:14" ht="18" customHeight="1" x14ac:dyDescent="0.35">
      <c r="B281" s="152">
        <f t="shared" si="9"/>
        <v>114</v>
      </c>
      <c r="C281" s="66"/>
      <c r="D281" s="2" t="s">
        <v>119</v>
      </c>
      <c r="E281" s="66"/>
      <c r="F281" s="66"/>
      <c r="G281" s="66"/>
      <c r="H281" s="66"/>
      <c r="I281" s="21"/>
      <c r="J281" s="203">
        <v>67614</v>
      </c>
      <c r="K281" s="209">
        <f t="shared" si="10"/>
        <v>144</v>
      </c>
      <c r="L281" s="21"/>
      <c r="M281" s="23"/>
      <c r="N281" s="155"/>
    </row>
    <row r="282" spans="2:14" ht="18" customHeight="1" x14ac:dyDescent="0.35">
      <c r="B282" s="152">
        <f t="shared" si="9"/>
        <v>115</v>
      </c>
      <c r="C282" s="66"/>
      <c r="D282" s="2" t="s">
        <v>120</v>
      </c>
      <c r="E282" s="66"/>
      <c r="F282" s="66"/>
      <c r="G282" s="66"/>
      <c r="H282" s="66"/>
      <c r="I282" s="21"/>
      <c r="J282" s="203">
        <v>3148</v>
      </c>
      <c r="K282" s="209">
        <f t="shared" si="10"/>
        <v>145</v>
      </c>
      <c r="L282" s="21"/>
      <c r="M282" s="23"/>
      <c r="N282" s="155"/>
    </row>
    <row r="283" spans="2:14" ht="18" customHeight="1" x14ac:dyDescent="0.35">
      <c r="B283" s="152">
        <f t="shared" si="9"/>
        <v>116</v>
      </c>
      <c r="C283" s="66"/>
      <c r="D283" s="2" t="s">
        <v>121</v>
      </c>
      <c r="E283" s="66"/>
      <c r="F283" s="66"/>
      <c r="G283" s="66"/>
      <c r="H283" s="66"/>
      <c r="I283" s="21"/>
      <c r="J283" s="203" t="s">
        <v>6</v>
      </c>
      <c r="K283" s="209">
        <f t="shared" si="10"/>
        <v>146</v>
      </c>
      <c r="L283" s="21"/>
      <c r="M283" s="23"/>
      <c r="N283" s="155"/>
    </row>
    <row r="284" spans="2:14" ht="18" customHeight="1" x14ac:dyDescent="0.35">
      <c r="B284" s="152">
        <f>B283+1</f>
        <v>117</v>
      </c>
      <c r="C284" s="66"/>
      <c r="D284" s="2" t="s">
        <v>122</v>
      </c>
      <c r="E284" s="66"/>
      <c r="F284" s="66"/>
      <c r="G284" s="66"/>
      <c r="H284" s="66"/>
      <c r="I284" s="21"/>
      <c r="J284" s="203" t="s">
        <v>6</v>
      </c>
      <c r="K284" s="209">
        <f>K283+1</f>
        <v>147</v>
      </c>
      <c r="L284" s="21"/>
      <c r="M284" s="23"/>
      <c r="N284" s="155"/>
    </row>
    <row r="285" spans="2:14" ht="18" customHeight="1" x14ac:dyDescent="0.35">
      <c r="B285" s="152">
        <f t="shared" si="9"/>
        <v>118</v>
      </c>
      <c r="C285" s="66"/>
      <c r="D285" s="2" t="s">
        <v>183</v>
      </c>
      <c r="E285" s="66"/>
      <c r="F285" s="66"/>
      <c r="G285" s="66"/>
      <c r="H285" s="66"/>
      <c r="I285" s="21"/>
      <c r="J285" s="203">
        <v>24503</v>
      </c>
      <c r="K285" s="209">
        <f t="shared" si="10"/>
        <v>148</v>
      </c>
      <c r="L285" s="21"/>
      <c r="M285" s="23"/>
      <c r="N285" s="155"/>
    </row>
    <row r="286" spans="2:14" ht="18" customHeight="1" x14ac:dyDescent="0.35">
      <c r="B286" s="152">
        <f t="shared" si="9"/>
        <v>119</v>
      </c>
      <c r="C286" s="66"/>
      <c r="D286" s="2" t="s">
        <v>184</v>
      </c>
      <c r="E286" s="66"/>
      <c r="F286" s="66"/>
      <c r="G286" s="66"/>
      <c r="H286" s="66"/>
      <c r="I286" s="21"/>
      <c r="J286" s="203" t="s">
        <v>6</v>
      </c>
      <c r="K286" s="209">
        <f t="shared" si="10"/>
        <v>149</v>
      </c>
      <c r="L286" s="21"/>
      <c r="M286" s="23"/>
      <c r="N286" s="155"/>
    </row>
    <row r="287" spans="2:14" ht="18" customHeight="1" x14ac:dyDescent="0.35">
      <c r="B287" s="152"/>
      <c r="C287" s="66"/>
      <c r="D287" s="471" t="s">
        <v>6</v>
      </c>
      <c r="E287" s="472"/>
      <c r="F287" s="472"/>
      <c r="G287" s="472"/>
      <c r="H287" s="473"/>
      <c r="I287" s="21"/>
      <c r="J287" s="66"/>
      <c r="K287" s="209"/>
      <c r="L287" s="21"/>
      <c r="M287" s="23"/>
      <c r="N287" s="155"/>
    </row>
    <row r="288" spans="2:14" ht="18" customHeight="1" x14ac:dyDescent="0.35">
      <c r="B288" s="152">
        <f>B286+1</f>
        <v>120</v>
      </c>
      <c r="C288" s="66"/>
      <c r="D288" s="2" t="s">
        <v>185</v>
      </c>
      <c r="E288" s="66"/>
      <c r="F288" s="66"/>
      <c r="G288" s="66"/>
      <c r="H288" s="66"/>
      <c r="I288" s="21"/>
      <c r="J288" s="203">
        <v>2949</v>
      </c>
      <c r="K288" s="209">
        <f>K286+1</f>
        <v>150</v>
      </c>
      <c r="L288" s="21"/>
      <c r="M288" s="23"/>
      <c r="N288" s="155"/>
    </row>
    <row r="289" spans="2:14" ht="18" customHeight="1" x14ac:dyDescent="0.35">
      <c r="B289" s="152">
        <f t="shared" si="9"/>
        <v>121</v>
      </c>
      <c r="C289" s="66"/>
      <c r="D289" s="20" t="s">
        <v>186</v>
      </c>
      <c r="E289" s="2"/>
      <c r="F289" s="66"/>
      <c r="G289" s="11"/>
      <c r="H289" s="77" t="str">
        <f>CONCATENATE("(Sum of Lines ",B269," to ",B288,")")</f>
        <v>(Sum of Lines 103 to 120)</v>
      </c>
      <c r="I289" s="21"/>
      <c r="J289" s="247" t="str">
        <f>IF(COUNTIF(J269:J288,"..")&gt;0,"..",SUM(J269:J288))</f>
        <v>..</v>
      </c>
      <c r="K289" s="209">
        <f>K288+1</f>
        <v>151</v>
      </c>
      <c r="L289" s="203">
        <v>680000</v>
      </c>
      <c r="M289" s="209">
        <f>M266+1</f>
        <v>172</v>
      </c>
      <c r="N289" s="155"/>
    </row>
    <row r="290" spans="2:14" ht="18" customHeight="1" x14ac:dyDescent="0.35">
      <c r="B290" s="52"/>
      <c r="C290" s="53"/>
      <c r="D290" s="79"/>
      <c r="E290" s="53"/>
      <c r="F290" s="11"/>
      <c r="G290" s="11"/>
      <c r="H290" s="53"/>
      <c r="I290" s="21"/>
      <c r="J290" s="53"/>
      <c r="K290" s="209"/>
      <c r="L290" s="53"/>
      <c r="M290" s="24"/>
      <c r="N290" s="151"/>
    </row>
    <row r="291" spans="2:14" ht="18" customHeight="1" x14ac:dyDescent="0.35">
      <c r="B291" s="152">
        <f>B289+1</f>
        <v>122</v>
      </c>
      <c r="C291" s="66"/>
      <c r="D291" s="2" t="s">
        <v>187</v>
      </c>
      <c r="E291" s="66"/>
      <c r="F291" s="66"/>
      <c r="G291" s="66"/>
      <c r="H291" s="66"/>
      <c r="I291" s="21"/>
      <c r="J291" s="203">
        <v>500000</v>
      </c>
      <c r="K291" s="209">
        <f>K289+1</f>
        <v>152</v>
      </c>
      <c r="L291" s="9"/>
      <c r="M291" s="1"/>
      <c r="N291" s="187"/>
    </row>
    <row r="292" spans="2:14" ht="9.75" customHeight="1" x14ac:dyDescent="0.35">
      <c r="B292" s="152">
        <f>B291+1</f>
        <v>123</v>
      </c>
      <c r="C292" s="66"/>
      <c r="D292" s="2" t="s">
        <v>188</v>
      </c>
      <c r="E292" s="66"/>
      <c r="F292" s="66"/>
      <c r="G292" s="66"/>
      <c r="H292" s="66"/>
      <c r="I292" s="21"/>
      <c r="J292" s="203">
        <v>349480</v>
      </c>
      <c r="K292" s="209">
        <f>K291+1</f>
        <v>153</v>
      </c>
      <c r="L292" s="9"/>
      <c r="M292" s="1"/>
      <c r="N292" s="155"/>
    </row>
    <row r="293" spans="2:14" ht="18" customHeight="1" x14ac:dyDescent="0.35">
      <c r="B293" s="152"/>
      <c r="C293" s="53"/>
      <c r="D293" s="53"/>
      <c r="E293" s="53"/>
      <c r="F293" s="53"/>
      <c r="G293" s="53"/>
      <c r="H293" s="53"/>
      <c r="I293" s="25"/>
      <c r="J293" s="53"/>
      <c r="K293" s="209"/>
      <c r="L293" s="9"/>
      <c r="M293" s="86"/>
      <c r="N293" s="151"/>
    </row>
    <row r="294" spans="2:14" ht="18" customHeight="1" x14ac:dyDescent="0.35">
      <c r="B294" s="152">
        <f>B292+1</f>
        <v>124</v>
      </c>
      <c r="C294" s="2" t="s">
        <v>189</v>
      </c>
      <c r="D294" s="66"/>
      <c r="E294" s="66"/>
      <c r="F294" s="66"/>
      <c r="G294" s="66"/>
      <c r="H294" s="66"/>
      <c r="I294" s="25"/>
      <c r="J294" s="203">
        <v>59137</v>
      </c>
      <c r="K294" s="209">
        <f>K292+1</f>
        <v>154</v>
      </c>
      <c r="L294" s="9"/>
      <c r="M294" s="1"/>
      <c r="N294" s="155"/>
    </row>
    <row r="295" spans="2:14" ht="9.75" customHeight="1" x14ac:dyDescent="0.35">
      <c r="B295" s="152">
        <f>B294+1</f>
        <v>125</v>
      </c>
      <c r="C295" s="2" t="s">
        <v>190</v>
      </c>
      <c r="D295" s="26"/>
      <c r="E295" s="66"/>
      <c r="F295" s="66"/>
      <c r="G295" s="66"/>
      <c r="H295" s="66"/>
      <c r="I295" s="25"/>
      <c r="J295" s="203">
        <v>35039</v>
      </c>
      <c r="K295" s="209">
        <f>K294+1</f>
        <v>155</v>
      </c>
      <c r="L295" s="9"/>
      <c r="M295" s="1"/>
      <c r="N295" s="155"/>
    </row>
    <row r="296" spans="2:14" ht="18" customHeight="1" x14ac:dyDescent="0.35">
      <c r="B296" s="152">
        <f>B295+1</f>
        <v>126</v>
      </c>
      <c r="C296" s="2" t="s">
        <v>191</v>
      </c>
      <c r="D296" s="66"/>
      <c r="E296" s="66"/>
      <c r="F296" s="66"/>
      <c r="G296" s="66"/>
      <c r="H296" s="66"/>
      <c r="I296" s="25"/>
      <c r="J296" s="203">
        <v>0</v>
      </c>
      <c r="K296" s="209">
        <f>K295+1</f>
        <v>156</v>
      </c>
      <c r="L296" s="9"/>
      <c r="M296" s="1"/>
      <c r="N296" s="155"/>
    </row>
    <row r="297" spans="2:14" ht="18" customHeight="1" x14ac:dyDescent="0.35">
      <c r="B297" s="152"/>
      <c r="C297" s="2"/>
      <c r="D297" s="66"/>
      <c r="E297" s="66"/>
      <c r="F297" s="66"/>
      <c r="G297" s="66"/>
      <c r="H297" s="66"/>
      <c r="I297" s="35"/>
      <c r="J297" s="66"/>
      <c r="K297" s="209"/>
      <c r="L297" s="9"/>
      <c r="M297" s="1"/>
      <c r="N297" s="155"/>
    </row>
    <row r="298" spans="2:14" ht="18" customHeight="1" x14ac:dyDescent="0.35">
      <c r="B298" s="152">
        <f>B296+1</f>
        <v>127</v>
      </c>
      <c r="C298" s="220" t="s">
        <v>192</v>
      </c>
      <c r="D298" s="220"/>
      <c r="E298" s="220"/>
      <c r="F298" s="220"/>
      <c r="G298" s="220"/>
      <c r="H298" s="220"/>
      <c r="I298" s="220"/>
      <c r="J298" s="220"/>
      <c r="K298" s="209"/>
      <c r="L298" s="203">
        <v>982000</v>
      </c>
      <c r="M298" s="209">
        <f>M289+1</f>
        <v>173</v>
      </c>
      <c r="N298" s="155"/>
    </row>
    <row r="299" spans="2:14" ht="10.5" customHeight="1" x14ac:dyDescent="0.35">
      <c r="B299" s="152"/>
      <c r="C299" s="220" t="s">
        <v>193</v>
      </c>
      <c r="D299" s="220"/>
      <c r="E299" s="220"/>
      <c r="F299" s="220"/>
      <c r="G299" s="220"/>
      <c r="H299" s="220"/>
      <c r="I299" s="220"/>
      <c r="J299" s="220"/>
      <c r="K299" s="209"/>
      <c r="L299" s="220"/>
      <c r="M299" s="209"/>
      <c r="N299" s="155"/>
    </row>
    <row r="300" spans="2:14" ht="18" customHeight="1" x14ac:dyDescent="0.35">
      <c r="B300" s="172"/>
      <c r="C300" s="2"/>
      <c r="D300" s="66"/>
      <c r="E300" s="66"/>
      <c r="F300" s="66"/>
      <c r="G300" s="66"/>
      <c r="H300" s="66"/>
      <c r="I300" s="35"/>
      <c r="J300" s="35"/>
      <c r="K300" s="209"/>
      <c r="L300" s="9"/>
      <c r="M300" s="105"/>
      <c r="N300" s="155"/>
    </row>
    <row r="301" spans="2:14" ht="12.75" customHeight="1" x14ac:dyDescent="0.35">
      <c r="B301" s="152">
        <f>B298+1</f>
        <v>128</v>
      </c>
      <c r="C301" s="20" t="s">
        <v>194</v>
      </c>
      <c r="D301" s="66"/>
      <c r="E301" s="66"/>
      <c r="F301" s="66"/>
      <c r="G301" s="225"/>
      <c r="H301" s="77" t="str">
        <f>CONCATENATE("(Sum of Lines ",B265,", ",B266," and ",B289," to ",B298,")")</f>
        <v>(Sum of Lines 101, 102 and 121 to 127)</v>
      </c>
      <c r="I301" s="35"/>
      <c r="J301" s="247" t="str">
        <f>IF(COUNTIF(J265:J296,"..")&gt;0,"..",(SUM(J265:J266,J289,J291:J292,J294:J296)))</f>
        <v>..</v>
      </c>
      <c r="K301" s="209">
        <f>K296+1</f>
        <v>157</v>
      </c>
      <c r="L301" s="247">
        <f>IF(COUNTIF(L265:L298,"..")&gt;0,"..",(SUM(L265:L266,L289,L298)))</f>
        <v>10326348</v>
      </c>
      <c r="M301" s="209">
        <f>M298+1</f>
        <v>174</v>
      </c>
      <c r="N301" s="155"/>
    </row>
    <row r="302" spans="2:14" ht="10.5" customHeight="1" x14ac:dyDescent="0.35">
      <c r="B302" s="152"/>
      <c r="C302" s="53"/>
      <c r="D302" s="53"/>
      <c r="E302" s="53"/>
      <c r="F302" s="53"/>
      <c r="G302" s="53"/>
      <c r="H302" s="53"/>
      <c r="I302" s="25"/>
      <c r="J302" s="53"/>
      <c r="K302" s="209"/>
      <c r="L302" s="53"/>
      <c r="M302" s="86"/>
      <c r="N302" s="151"/>
    </row>
    <row r="303" spans="2:14" ht="18" customHeight="1" x14ac:dyDescent="0.35">
      <c r="B303" s="152"/>
      <c r="C303" s="91" t="s">
        <v>195</v>
      </c>
      <c r="D303" s="53"/>
      <c r="E303" s="53"/>
      <c r="F303" s="53"/>
      <c r="G303" s="53"/>
      <c r="H303" s="53"/>
      <c r="I303" s="25"/>
      <c r="J303" s="53"/>
      <c r="K303" s="209"/>
      <c r="L303" s="53"/>
      <c r="M303" s="86"/>
      <c r="N303" s="151"/>
    </row>
    <row r="304" spans="2:14" ht="9" customHeight="1" x14ac:dyDescent="0.35">
      <c r="B304" s="152">
        <f>B301+1</f>
        <v>129</v>
      </c>
      <c r="C304" s="2" t="s">
        <v>196</v>
      </c>
      <c r="D304" s="66"/>
      <c r="E304" s="66"/>
      <c r="F304" s="66"/>
      <c r="G304" s="66"/>
      <c r="H304" s="66"/>
      <c r="I304" s="25"/>
      <c r="J304" s="203">
        <v>3276</v>
      </c>
      <c r="K304" s="209">
        <f>K301+1</f>
        <v>158</v>
      </c>
      <c r="L304" s="53"/>
      <c r="M304" s="1"/>
      <c r="N304" s="155"/>
    </row>
    <row r="305" spans="2:15" ht="18" customHeight="1" x14ac:dyDescent="0.35">
      <c r="B305" s="152">
        <f t="shared" ref="B305:B312" si="11">B304+1</f>
        <v>130</v>
      </c>
      <c r="C305" s="2" t="s">
        <v>197</v>
      </c>
      <c r="D305" s="2"/>
      <c r="E305" s="66"/>
      <c r="F305" s="66"/>
      <c r="G305" s="66"/>
      <c r="H305" s="66"/>
      <c r="I305" s="25"/>
      <c r="J305" s="203">
        <v>0</v>
      </c>
      <c r="K305" s="209">
        <f t="shared" ref="K305:K312" si="12">K304+1</f>
        <v>159</v>
      </c>
      <c r="L305" s="53"/>
      <c r="M305" s="1"/>
      <c r="N305" s="155"/>
    </row>
    <row r="306" spans="2:15" ht="18" customHeight="1" x14ac:dyDescent="0.35">
      <c r="B306" s="152">
        <f t="shared" si="11"/>
        <v>131</v>
      </c>
      <c r="C306" s="2" t="s">
        <v>198</v>
      </c>
      <c r="D306" s="2"/>
      <c r="E306" s="66"/>
      <c r="F306" s="66"/>
      <c r="G306" s="66"/>
      <c r="H306" s="66"/>
      <c r="I306" s="25"/>
      <c r="J306" s="203">
        <v>-13010</v>
      </c>
      <c r="K306" s="209">
        <f t="shared" si="12"/>
        <v>160</v>
      </c>
      <c r="L306" s="53"/>
      <c r="M306" s="1"/>
      <c r="N306" s="155"/>
    </row>
    <row r="307" spans="2:15" ht="18" customHeight="1" x14ac:dyDescent="0.35">
      <c r="B307" s="152">
        <f t="shared" si="11"/>
        <v>132</v>
      </c>
      <c r="C307" s="2" t="s">
        <v>199</v>
      </c>
      <c r="D307" s="66"/>
      <c r="E307" s="66"/>
      <c r="F307" s="66"/>
      <c r="G307" s="66"/>
      <c r="H307" s="66"/>
      <c r="I307" s="25"/>
      <c r="J307" s="203">
        <v>2658</v>
      </c>
      <c r="K307" s="209">
        <f t="shared" si="12"/>
        <v>161</v>
      </c>
      <c r="L307" s="53"/>
      <c r="M307" s="1"/>
      <c r="N307" s="155"/>
    </row>
    <row r="308" spans="2:15" ht="18" customHeight="1" x14ac:dyDescent="0.35">
      <c r="B308" s="152">
        <f t="shared" si="11"/>
        <v>133</v>
      </c>
      <c r="C308" s="2" t="s">
        <v>200</v>
      </c>
      <c r="D308" s="2"/>
      <c r="E308" s="66"/>
      <c r="F308" s="66"/>
      <c r="G308" s="66"/>
      <c r="H308" s="66"/>
      <c r="I308" s="25"/>
      <c r="J308" s="203">
        <v>0</v>
      </c>
      <c r="K308" s="209">
        <f t="shared" si="12"/>
        <v>162</v>
      </c>
      <c r="L308" s="53"/>
      <c r="M308" s="1"/>
      <c r="N308" s="155"/>
    </row>
    <row r="309" spans="2:15" ht="18" customHeight="1" x14ac:dyDescent="0.35">
      <c r="B309" s="152">
        <f t="shared" si="11"/>
        <v>134</v>
      </c>
      <c r="C309" s="2" t="s">
        <v>201</v>
      </c>
      <c r="D309" s="2"/>
      <c r="E309" s="66"/>
      <c r="F309" s="66"/>
      <c r="G309" s="66"/>
      <c r="H309" s="66"/>
      <c r="I309" s="25"/>
      <c r="J309" s="203">
        <v>32923</v>
      </c>
      <c r="K309" s="209">
        <f t="shared" si="12"/>
        <v>163</v>
      </c>
      <c r="L309" s="53"/>
      <c r="M309" s="1"/>
      <c r="N309" s="155"/>
    </row>
    <row r="310" spans="2:15" ht="18" customHeight="1" x14ac:dyDescent="0.35">
      <c r="B310" s="152">
        <f t="shared" si="11"/>
        <v>135</v>
      </c>
      <c r="C310" s="2" t="s">
        <v>202</v>
      </c>
      <c r="D310" s="66"/>
      <c r="E310" s="66"/>
      <c r="F310" s="66"/>
      <c r="G310" s="66"/>
      <c r="H310" s="66"/>
      <c r="I310" s="25"/>
      <c r="J310" s="203">
        <v>0</v>
      </c>
      <c r="K310" s="209">
        <f t="shared" si="12"/>
        <v>164</v>
      </c>
      <c r="L310" s="53"/>
      <c r="M310" s="1"/>
      <c r="N310" s="155"/>
    </row>
    <row r="311" spans="2:15" ht="18" customHeight="1" x14ac:dyDescent="0.35">
      <c r="B311" s="152">
        <f t="shared" si="11"/>
        <v>136</v>
      </c>
      <c r="C311" s="2" t="s">
        <v>203</v>
      </c>
      <c r="D311" s="2"/>
      <c r="E311" s="2"/>
      <c r="F311" s="66"/>
      <c r="G311" s="66"/>
      <c r="H311" s="66"/>
      <c r="I311" s="25"/>
      <c r="J311" s="203">
        <v>83753</v>
      </c>
      <c r="K311" s="209">
        <f t="shared" si="12"/>
        <v>165</v>
      </c>
      <c r="L311" s="53"/>
      <c r="M311" s="1"/>
      <c r="N311" s="155"/>
    </row>
    <row r="312" spans="2:15" ht="18" customHeight="1" x14ac:dyDescent="0.35">
      <c r="B312" s="152">
        <f t="shared" si="11"/>
        <v>137</v>
      </c>
      <c r="C312" s="2" t="s">
        <v>204</v>
      </c>
      <c r="D312" s="2"/>
      <c r="E312" s="2"/>
      <c r="F312" s="66"/>
      <c r="G312" s="66"/>
      <c r="H312" s="66"/>
      <c r="I312" s="25"/>
      <c r="J312" s="203">
        <v>14457</v>
      </c>
      <c r="K312" s="209">
        <f t="shared" si="12"/>
        <v>166</v>
      </c>
      <c r="L312" s="53"/>
      <c r="M312" s="1"/>
      <c r="N312" s="155"/>
    </row>
    <row r="313" spans="2:15" ht="18" customHeight="1" x14ac:dyDescent="0.35">
      <c r="B313" s="362" t="s">
        <v>54</v>
      </c>
      <c r="C313" s="471" t="s">
        <v>6</v>
      </c>
      <c r="D313" s="472"/>
      <c r="E313" s="472"/>
      <c r="F313" s="472"/>
      <c r="G313" s="473"/>
      <c r="H313" s="53"/>
      <c r="I313" s="25"/>
      <c r="J313" s="53"/>
      <c r="K313" s="209"/>
      <c r="L313" s="53"/>
      <c r="M313" s="86"/>
      <c r="N313" s="151"/>
    </row>
    <row r="314" spans="2:15" ht="18" customHeight="1" x14ac:dyDescent="0.35">
      <c r="B314" s="152">
        <f>B312+1</f>
        <v>138</v>
      </c>
      <c r="C314" s="20" t="s">
        <v>205</v>
      </c>
      <c r="D314" s="66"/>
      <c r="E314" s="66"/>
      <c r="F314" s="66"/>
      <c r="G314" s="66"/>
      <c r="H314" s="77" t="str">
        <f>CONCATENATE("(Sum of Lines ",B304," to ",B312,")")</f>
        <v>(Sum of Lines 129 to 137)</v>
      </c>
      <c r="I314" s="25"/>
      <c r="J314" s="247">
        <f>IF(COUNTIF(J304:J312,"..")&gt;0,"..",SUM(J304:J312))</f>
        <v>124057</v>
      </c>
      <c r="K314" s="209">
        <f>K312+1</f>
        <v>167</v>
      </c>
      <c r="L314" s="203">
        <v>266000</v>
      </c>
      <c r="M314" s="209">
        <f>M301+1</f>
        <v>175</v>
      </c>
      <c r="N314" s="155"/>
    </row>
    <row r="315" spans="2:15" ht="18" customHeight="1" x14ac:dyDescent="0.35">
      <c r="B315" s="152"/>
      <c r="C315" s="79"/>
      <c r="D315" s="53"/>
      <c r="E315" s="53"/>
      <c r="F315" s="53"/>
      <c r="G315" s="53"/>
      <c r="H315" s="53"/>
      <c r="I315" s="25"/>
      <c r="J315" s="53"/>
      <c r="K315" s="209"/>
      <c r="L315" s="53"/>
      <c r="M315" s="107"/>
      <c r="N315" s="151"/>
    </row>
    <row r="316" spans="2:15" ht="18" customHeight="1" x14ac:dyDescent="0.3">
      <c r="B316" s="152">
        <f>B314+1</f>
        <v>139</v>
      </c>
      <c r="C316" s="20" t="s">
        <v>206</v>
      </c>
      <c r="D316" s="66"/>
      <c r="E316" s="66"/>
      <c r="F316" s="66"/>
      <c r="G316" s="66"/>
      <c r="H316" s="77" t="str">
        <f>CONCATENATE("(Line ",B301," minus ",B314,")")</f>
        <v>(Line 128 minus 138)</v>
      </c>
      <c r="I316" s="25"/>
      <c r="J316" s="247" t="str">
        <f>IF(COUNTIF(J301:J314,"..")&gt;0,"..",SUM(J301)-SUM(J314))</f>
        <v>..</v>
      </c>
      <c r="K316" s="209">
        <f>K314+1</f>
        <v>168</v>
      </c>
      <c r="L316" s="247">
        <f>IF(COUNTIF(L301:L314,"..")&gt;0,"..",SUM(L301)-SUM(L314))</f>
        <v>10060348</v>
      </c>
      <c r="M316" s="209">
        <f>M314+1</f>
        <v>176</v>
      </c>
      <c r="N316" s="155"/>
      <c r="O316" s="50"/>
    </row>
    <row r="317" spans="2:15" ht="9" customHeight="1" x14ac:dyDescent="0.35">
      <c r="B317" s="152"/>
      <c r="C317" s="20"/>
      <c r="D317" s="66"/>
      <c r="E317" s="66"/>
      <c r="F317" s="66"/>
      <c r="G317" s="66"/>
      <c r="H317" s="77"/>
      <c r="I317" s="25"/>
      <c r="J317" s="53"/>
      <c r="K317" s="53"/>
      <c r="L317" s="53"/>
      <c r="M317" s="209"/>
      <c r="N317" s="155"/>
    </row>
    <row r="318" spans="2:15" ht="18" customHeight="1" x14ac:dyDescent="0.35">
      <c r="B318" s="152"/>
      <c r="C318" s="20"/>
      <c r="D318" s="329"/>
      <c r="E318" s="468" t="e">
        <f>CONCATENATE("Net Expenditure in ",Year-1,"-",Year-2000," (taken from last year's return)")</f>
        <v>#REF!</v>
      </c>
      <c r="F318" s="495"/>
      <c r="G318" s="495"/>
      <c r="H318" s="495"/>
      <c r="I318" s="496"/>
      <c r="J318" s="333" t="e">
        <f>VLOOKUP(FLAS,LY_Data,168,FALSE)</f>
        <v>#REF!</v>
      </c>
      <c r="K318" s="53"/>
      <c r="L318" s="53"/>
      <c r="M318" s="209"/>
      <c r="N318" s="155"/>
    </row>
    <row r="319" spans="2:15" ht="3.75" customHeight="1" x14ac:dyDescent="0.35">
      <c r="B319" s="152"/>
      <c r="C319" s="452" t="str">
        <f>IF(OR(LIBR0146="..",LIBR0138=".."),"",IF(OR((LIBR0138/LIBR0146&gt;1.25),(LIBR0138/LIBR0146&lt;0.75)),"",""))</f>
        <v/>
      </c>
      <c r="D319" s="452"/>
      <c r="E319" s="452"/>
      <c r="F319" s="452"/>
      <c r="G319" s="452"/>
      <c r="H319" s="452"/>
      <c r="I319" s="452"/>
      <c r="J319" s="452"/>
      <c r="K319" s="452"/>
      <c r="L319" s="452"/>
      <c r="M319" s="209"/>
      <c r="N319" s="155"/>
    </row>
    <row r="320" spans="2:15" ht="18" customHeight="1" x14ac:dyDescent="0.35">
      <c r="B320" s="152"/>
      <c r="C320" s="452"/>
      <c r="D320" s="452"/>
      <c r="E320" s="452"/>
      <c r="F320" s="452"/>
      <c r="G320" s="452"/>
      <c r="H320" s="452"/>
      <c r="I320" s="452"/>
      <c r="J320" s="452"/>
      <c r="K320" s="452"/>
      <c r="L320" s="452"/>
      <c r="M320" s="209"/>
      <c r="N320" s="155"/>
    </row>
    <row r="321" spans="2:14" ht="18" customHeight="1" x14ac:dyDescent="0.35">
      <c r="B321" s="152"/>
      <c r="C321" s="452" t="e">
        <f>IF(OR(LIBR0138="..",J318=".."),"",IF(OR((LIBR0138/J318&gt;1.25),(LIBR0138/J318&lt;0.75)),"",""))</f>
        <v>#REF!</v>
      </c>
      <c r="D321" s="452"/>
      <c r="E321" s="452"/>
      <c r="F321" s="452"/>
      <c r="G321" s="452"/>
      <c r="H321" s="452"/>
      <c r="I321" s="452"/>
      <c r="J321" s="452"/>
      <c r="K321" s="452"/>
      <c r="L321" s="452"/>
      <c r="M321" s="209"/>
      <c r="N321" s="155"/>
    </row>
    <row r="322" spans="2:14" ht="18" customHeight="1" x14ac:dyDescent="0.35">
      <c r="B322" s="152"/>
      <c r="C322" s="452"/>
      <c r="D322" s="452"/>
      <c r="E322" s="452"/>
      <c r="F322" s="452"/>
      <c r="G322" s="452"/>
      <c r="H322" s="452"/>
      <c r="I322" s="452"/>
      <c r="J322" s="452"/>
      <c r="K322" s="452"/>
      <c r="L322" s="452"/>
      <c r="M322" s="209"/>
      <c r="N322" s="155"/>
    </row>
    <row r="323" spans="2:14" ht="17.5" customHeight="1" x14ac:dyDescent="0.35">
      <c r="B323" s="152">
        <f>B316+1</f>
        <v>140</v>
      </c>
      <c r="C323" s="20" t="s">
        <v>207</v>
      </c>
      <c r="D323" s="78"/>
      <c r="E323" s="78"/>
      <c r="F323" s="78"/>
      <c r="G323" s="78"/>
      <c r="H323" s="78"/>
      <c r="I323" s="25"/>
      <c r="J323" s="203">
        <v>691532</v>
      </c>
      <c r="K323" s="209">
        <f>K316+1</f>
        <v>169</v>
      </c>
      <c r="L323" s="203">
        <v>695000</v>
      </c>
      <c r="M323" s="209">
        <f>M316+1</f>
        <v>177</v>
      </c>
      <c r="N323" s="155"/>
    </row>
    <row r="324" spans="2:14" ht="18" customHeight="1" thickBot="1" x14ac:dyDescent="0.4">
      <c r="B324" s="61"/>
      <c r="C324" s="188"/>
      <c r="D324" s="62"/>
      <c r="E324" s="62"/>
      <c r="F324" s="62"/>
      <c r="G324" s="62"/>
      <c r="H324" s="62"/>
      <c r="I324" s="189"/>
      <c r="J324" s="62"/>
      <c r="K324" s="62"/>
      <c r="L324" s="62"/>
      <c r="M324" s="190"/>
      <c r="N324" s="191"/>
    </row>
    <row r="325" spans="2:14" ht="18" customHeight="1" thickBot="1" x14ac:dyDescent="0.4">
      <c r="B325" s="382" t="s">
        <v>208</v>
      </c>
      <c r="C325" s="451"/>
      <c r="D325" s="451"/>
      <c r="E325" s="451"/>
      <c r="F325" s="451"/>
      <c r="G325" s="451"/>
      <c r="H325" s="451"/>
      <c r="I325" s="451"/>
      <c r="J325" s="451"/>
      <c r="K325" s="451"/>
      <c r="L325" s="465" t="s">
        <v>26</v>
      </c>
      <c r="M325" s="465"/>
      <c r="N325" s="466"/>
    </row>
    <row r="326" spans="2:14" ht="6" customHeight="1" x14ac:dyDescent="0.35">
      <c r="B326" s="192"/>
      <c r="C326" s="193"/>
      <c r="D326" s="193"/>
      <c r="E326" s="193"/>
      <c r="F326" s="193"/>
      <c r="G326" s="193"/>
      <c r="H326" s="193"/>
      <c r="I326" s="193"/>
      <c r="J326" s="193"/>
      <c r="K326" s="193"/>
      <c r="L326" s="193"/>
      <c r="M326" s="193"/>
      <c r="N326" s="246"/>
    </row>
    <row r="327" spans="2:14" ht="18" customHeight="1" x14ac:dyDescent="0.35">
      <c r="B327" s="172"/>
      <c r="C327" s="41" t="s">
        <v>209</v>
      </c>
      <c r="D327" s="66"/>
      <c r="E327" s="66"/>
      <c r="F327" s="66"/>
      <c r="G327" s="66"/>
      <c r="H327" s="66"/>
      <c r="I327" s="66"/>
      <c r="J327" s="66"/>
      <c r="K327" s="66"/>
      <c r="L327" s="211" t="e">
        <f>CONCATENATE(Year,"-",Year-1999," Outturn 
£")</f>
        <v>#REF!</v>
      </c>
      <c r="M327" s="88"/>
      <c r="N327" s="155"/>
    </row>
    <row r="328" spans="2:14" ht="18" customHeight="1" x14ac:dyDescent="0.35">
      <c r="B328" s="152">
        <f>B323+1</f>
        <v>141</v>
      </c>
      <c r="C328" s="2" t="s">
        <v>210</v>
      </c>
      <c r="D328" s="66"/>
      <c r="E328" s="66"/>
      <c r="F328" s="66"/>
      <c r="G328" s="66"/>
      <c r="H328" s="66"/>
      <c r="I328" s="66"/>
      <c r="J328" s="66"/>
      <c r="K328" s="66"/>
      <c r="L328" s="203">
        <v>0</v>
      </c>
      <c r="M328" s="209">
        <f>M323+1</f>
        <v>178</v>
      </c>
      <c r="N328" s="155"/>
    </row>
    <row r="329" spans="2:14" ht="15.5" x14ac:dyDescent="0.35">
      <c r="B329" s="152" t="e">
        <f>#REF!+1</f>
        <v>#REF!</v>
      </c>
      <c r="C329" s="2" t="s">
        <v>212</v>
      </c>
      <c r="D329" s="66"/>
      <c r="E329" s="66"/>
      <c r="F329" s="66"/>
      <c r="G329" s="66"/>
      <c r="H329" s="66"/>
      <c r="I329" s="66"/>
      <c r="J329" s="66"/>
      <c r="K329" s="66"/>
      <c r="L329" s="203">
        <v>278746</v>
      </c>
      <c r="M329" s="209" t="e">
        <f>#REF!+1</f>
        <v>#REF!</v>
      </c>
      <c r="N329" s="155"/>
    </row>
    <row r="330" spans="2:14" ht="18" customHeight="1" x14ac:dyDescent="0.35">
      <c r="B330" s="152" t="e">
        <f>B329+1</f>
        <v>#REF!</v>
      </c>
      <c r="C330" s="2" t="s">
        <v>213</v>
      </c>
      <c r="D330" s="66"/>
      <c r="E330" s="66"/>
      <c r="F330" s="66"/>
      <c r="G330" s="66"/>
      <c r="H330" s="66"/>
      <c r="I330" s="66"/>
      <c r="J330" s="66"/>
      <c r="K330" s="66"/>
      <c r="L330" s="203" t="s">
        <v>6</v>
      </c>
      <c r="M330" s="209" t="e">
        <f>M329+1</f>
        <v>#REF!</v>
      </c>
      <c r="N330" s="155"/>
    </row>
    <row r="331" spans="2:14" ht="18" customHeight="1" x14ac:dyDescent="0.35">
      <c r="B331" s="152" t="e">
        <f>B330+1</f>
        <v>#REF!</v>
      </c>
      <c r="C331" s="2" t="s">
        <v>214</v>
      </c>
      <c r="D331" s="66"/>
      <c r="E331" s="66"/>
      <c r="F331" s="66"/>
      <c r="G331" s="66"/>
      <c r="H331" s="66"/>
      <c r="I331" s="66"/>
      <c r="J331" s="66"/>
      <c r="K331" s="66"/>
      <c r="L331" s="203" t="s">
        <v>6</v>
      </c>
      <c r="M331" s="209" t="e">
        <f>M330+1</f>
        <v>#REF!</v>
      </c>
      <c r="N331" s="155"/>
    </row>
    <row r="332" spans="2:14" ht="18" customHeight="1" x14ac:dyDescent="0.35">
      <c r="B332" s="152" t="e">
        <f t="shared" ref="B332:B333" si="13">B331+1</f>
        <v>#REF!</v>
      </c>
      <c r="C332" s="2" t="s">
        <v>215</v>
      </c>
      <c r="D332" s="66"/>
      <c r="E332" s="66"/>
      <c r="F332" s="66"/>
      <c r="G332" s="66"/>
      <c r="H332" s="471" t="s">
        <v>6</v>
      </c>
      <c r="I332" s="472"/>
      <c r="J332" s="473"/>
      <c r="K332" s="66"/>
      <c r="L332" s="203">
        <v>1137060</v>
      </c>
      <c r="M332" s="209" t="e">
        <f t="shared" ref="M332:M333" si="14">M331+1</f>
        <v>#REF!</v>
      </c>
      <c r="N332" s="155"/>
    </row>
    <row r="333" spans="2:14" ht="18" customHeight="1" x14ac:dyDescent="0.35">
      <c r="B333" s="152" t="e">
        <f t="shared" si="13"/>
        <v>#REF!</v>
      </c>
      <c r="C333" s="20" t="s">
        <v>216</v>
      </c>
      <c r="D333" s="66"/>
      <c r="E333" s="66"/>
      <c r="F333" s="66"/>
      <c r="G333" s="66"/>
      <c r="H333" s="82"/>
      <c r="I333" s="82"/>
      <c r="J333" s="77" t="e">
        <f>CONCATENATE("(Sum of Lines ",B328," to ",B332,")")</f>
        <v>#REF!</v>
      </c>
      <c r="K333" s="66"/>
      <c r="L333" s="247" t="str">
        <f>IF(COUNTIF(L328:L332,"..")&gt;0,"..",SUM(L328:L332))</f>
        <v>..</v>
      </c>
      <c r="M333" s="209" t="e">
        <f t="shared" si="14"/>
        <v>#REF!</v>
      </c>
      <c r="N333" s="155"/>
    </row>
    <row r="334" spans="2:14" ht="18" customHeight="1" x14ac:dyDescent="0.35">
      <c r="B334" s="243"/>
      <c r="C334" s="20"/>
      <c r="D334" s="20"/>
      <c r="E334" s="20"/>
      <c r="F334" s="20"/>
      <c r="G334" s="20"/>
      <c r="H334" s="20"/>
      <c r="I334" s="20"/>
      <c r="J334" s="20"/>
      <c r="K334" s="20"/>
      <c r="L334" s="20"/>
      <c r="M334" s="20"/>
      <c r="N334" s="244"/>
    </row>
    <row r="335" spans="2:14" ht="18" customHeight="1" x14ac:dyDescent="0.35">
      <c r="B335" s="172"/>
      <c r="C335" s="464" t="str">
        <f>IF(L333="..","Please check all '..'s entered are unknown values and are not 0 or included in another cell.",0)</f>
        <v>Please check all '..'s entered are unknown values and are not 0 or included in another cell.</v>
      </c>
      <c r="D335" s="464"/>
      <c r="E335" s="464"/>
      <c r="F335" s="464"/>
      <c r="G335" s="464"/>
      <c r="H335" s="464"/>
      <c r="I335" s="464"/>
      <c r="J335" s="464"/>
      <c r="K335" s="464"/>
      <c r="L335" s="464"/>
      <c r="M335" s="1"/>
      <c r="N335" s="155"/>
    </row>
    <row r="336" spans="2:14" ht="18" customHeight="1" thickBot="1" x14ac:dyDescent="0.4">
      <c r="B336" s="61"/>
      <c r="C336" s="62"/>
      <c r="D336" s="62"/>
      <c r="E336" s="62"/>
      <c r="F336" s="62"/>
      <c r="G336" s="62"/>
      <c r="H336" s="62"/>
      <c r="I336" s="62"/>
      <c r="J336" s="194"/>
      <c r="K336" s="194"/>
      <c r="L336" s="62"/>
      <c r="M336" s="195"/>
      <c r="N336" s="191"/>
    </row>
    <row r="337" spans="2:14" ht="11.25" customHeight="1" thickBot="1" x14ac:dyDescent="0.4">
      <c r="B337" s="382" t="s">
        <v>217</v>
      </c>
      <c r="C337" s="451"/>
      <c r="D337" s="451"/>
      <c r="E337" s="451"/>
      <c r="F337" s="451"/>
      <c r="G337" s="451"/>
      <c r="H337" s="451"/>
      <c r="I337" s="451"/>
      <c r="J337" s="451"/>
      <c r="K337" s="451"/>
      <c r="L337" s="465"/>
      <c r="M337" s="465"/>
      <c r="N337" s="466"/>
    </row>
    <row r="338" spans="2:14" ht="18" customHeight="1" x14ac:dyDescent="0.35">
      <c r="B338" s="192"/>
      <c r="C338" s="193"/>
      <c r="D338" s="193"/>
      <c r="E338" s="193"/>
      <c r="F338" s="193"/>
      <c r="G338" s="193"/>
      <c r="H338" s="193"/>
      <c r="I338" s="193"/>
      <c r="J338" s="193"/>
      <c r="K338" s="193"/>
      <c r="L338" s="193"/>
      <c r="M338" s="193"/>
      <c r="N338" s="246"/>
    </row>
    <row r="339" spans="2:14" ht="18" customHeight="1" x14ac:dyDescent="0.35">
      <c r="B339" s="172"/>
      <c r="C339" s="41" t="s">
        <v>91</v>
      </c>
      <c r="D339" s="66"/>
      <c r="E339" s="66"/>
      <c r="F339" s="66"/>
      <c r="G339" s="66"/>
      <c r="H339" s="66"/>
      <c r="I339" s="66"/>
      <c r="J339" s="66"/>
      <c r="K339" s="66"/>
      <c r="L339" s="211"/>
      <c r="M339" s="88"/>
      <c r="N339" s="155"/>
    </row>
    <row r="340" spans="2:14" ht="18" customHeight="1" x14ac:dyDescent="0.35">
      <c r="B340" s="152" t="e">
        <f>B333+1</f>
        <v>#REF!</v>
      </c>
      <c r="C340" s="2" t="s">
        <v>218</v>
      </c>
      <c r="D340" s="66"/>
      <c r="E340" s="66"/>
      <c r="F340" s="66"/>
      <c r="G340" s="66"/>
      <c r="H340" s="66"/>
      <c r="I340" s="361" t="s">
        <v>54</v>
      </c>
      <c r="J340" s="66"/>
      <c r="K340" s="66"/>
      <c r="L340" s="203">
        <v>143648</v>
      </c>
      <c r="M340" s="209" t="e">
        <f>M333+1</f>
        <v>#REF!</v>
      </c>
      <c r="N340" s="155"/>
    </row>
    <row r="341" spans="2:14" ht="18" customHeight="1" x14ac:dyDescent="0.35">
      <c r="B341" s="152" t="e">
        <f>#REF!+1</f>
        <v>#REF!</v>
      </c>
      <c r="C341" s="2" t="s">
        <v>219</v>
      </c>
      <c r="D341" s="66"/>
      <c r="E341" s="66"/>
      <c r="F341" s="66"/>
      <c r="G341" s="66"/>
      <c r="H341" s="66"/>
      <c r="I341" s="361" t="s">
        <v>54</v>
      </c>
      <c r="J341" s="66"/>
      <c r="K341" s="66"/>
      <c r="L341" s="203">
        <v>25535</v>
      </c>
      <c r="M341" s="209" t="e">
        <f>#REF!+1</f>
        <v>#REF!</v>
      </c>
      <c r="N341" s="155"/>
    </row>
    <row r="342" spans="2:14" ht="15.5" x14ac:dyDescent="0.35">
      <c r="B342" s="152" t="e">
        <f t="shared" ref="B342:B348" si="15">B341+1</f>
        <v>#REF!</v>
      </c>
      <c r="C342" s="2" t="s">
        <v>220</v>
      </c>
      <c r="D342" s="66"/>
      <c r="E342" s="66"/>
      <c r="F342" s="66"/>
      <c r="G342" s="66"/>
      <c r="H342" s="66"/>
      <c r="I342" s="361" t="s">
        <v>54</v>
      </c>
      <c r="J342" s="66"/>
      <c r="K342" s="66"/>
      <c r="L342" s="203">
        <v>2561</v>
      </c>
      <c r="M342" s="209" t="e">
        <f t="shared" ref="M342:M348" si="16">M341+1</f>
        <v>#REF!</v>
      </c>
      <c r="N342" s="155"/>
    </row>
    <row r="343" spans="2:14" ht="18" customHeight="1" x14ac:dyDescent="0.35">
      <c r="B343" s="152" t="e">
        <f t="shared" si="15"/>
        <v>#REF!</v>
      </c>
      <c r="C343" s="2" t="s">
        <v>221</v>
      </c>
      <c r="D343" s="66"/>
      <c r="E343" s="66"/>
      <c r="F343" s="66"/>
      <c r="G343" s="66"/>
      <c r="H343" s="66"/>
      <c r="I343" s="361" t="s">
        <v>54</v>
      </c>
      <c r="J343" s="66"/>
      <c r="K343" s="66"/>
      <c r="L343" s="203">
        <v>119334</v>
      </c>
      <c r="M343" s="209" t="e">
        <f t="shared" si="16"/>
        <v>#REF!</v>
      </c>
      <c r="N343" s="155"/>
    </row>
    <row r="344" spans="2:14" ht="18" customHeight="1" x14ac:dyDescent="0.35">
      <c r="B344" s="152" t="e">
        <f>B343+1</f>
        <v>#REF!</v>
      </c>
      <c r="C344" s="2" t="s">
        <v>222</v>
      </c>
      <c r="D344" s="66"/>
      <c r="E344" s="66"/>
      <c r="F344" s="66"/>
      <c r="G344" s="66"/>
      <c r="H344" s="66"/>
      <c r="I344" s="361" t="s">
        <v>54</v>
      </c>
      <c r="J344" s="66"/>
      <c r="K344" s="66"/>
      <c r="L344" s="203">
        <v>22431</v>
      </c>
      <c r="M344" s="209" t="e">
        <f>M343+1</f>
        <v>#REF!</v>
      </c>
      <c r="N344" s="155"/>
    </row>
    <row r="345" spans="2:14" ht="18" customHeight="1" x14ac:dyDescent="0.35">
      <c r="B345" s="152" t="e">
        <f t="shared" si="15"/>
        <v>#REF!</v>
      </c>
      <c r="C345" s="2" t="s">
        <v>223</v>
      </c>
      <c r="D345" s="66"/>
      <c r="E345" s="66"/>
      <c r="F345" s="66"/>
      <c r="G345" s="66"/>
      <c r="H345" s="66"/>
      <c r="I345" s="361" t="s">
        <v>54</v>
      </c>
      <c r="J345" s="66"/>
      <c r="K345" s="66"/>
      <c r="L345" s="203">
        <v>19542</v>
      </c>
      <c r="M345" s="209" t="e">
        <f t="shared" si="16"/>
        <v>#REF!</v>
      </c>
      <c r="N345" s="155"/>
    </row>
    <row r="346" spans="2:14" ht="18" customHeight="1" x14ac:dyDescent="0.35">
      <c r="B346" s="152" t="e">
        <f t="shared" si="15"/>
        <v>#REF!</v>
      </c>
      <c r="C346" s="2" t="s">
        <v>224</v>
      </c>
      <c r="D346" s="66"/>
      <c r="E346" s="66"/>
      <c r="F346" s="66"/>
      <c r="G346" s="66"/>
      <c r="H346" s="66"/>
      <c r="I346" s="361" t="s">
        <v>54</v>
      </c>
      <c r="J346" s="66"/>
      <c r="K346" s="66"/>
      <c r="L346" s="203">
        <v>623</v>
      </c>
      <c r="M346" s="209" t="e">
        <f t="shared" si="16"/>
        <v>#REF!</v>
      </c>
      <c r="N346" s="155"/>
    </row>
    <row r="347" spans="2:14" ht="18" customHeight="1" x14ac:dyDescent="0.35">
      <c r="B347" s="152" t="e">
        <f t="shared" si="15"/>
        <v>#REF!</v>
      </c>
      <c r="C347" s="2" t="s">
        <v>394</v>
      </c>
      <c r="D347" s="66"/>
      <c r="E347" s="66"/>
      <c r="F347" s="66"/>
      <c r="G347" s="66"/>
      <c r="H347" s="66"/>
      <c r="I347" s="361" t="s">
        <v>54</v>
      </c>
      <c r="J347" s="66"/>
      <c r="K347" s="66"/>
      <c r="L347" s="203">
        <v>7946</v>
      </c>
      <c r="M347" s="209" t="e">
        <f t="shared" si="16"/>
        <v>#REF!</v>
      </c>
      <c r="N347" s="155"/>
    </row>
    <row r="348" spans="2:14" ht="18" customHeight="1" x14ac:dyDescent="0.35">
      <c r="B348" s="152" t="e">
        <f t="shared" si="15"/>
        <v>#REF!</v>
      </c>
      <c r="C348" s="2" t="s">
        <v>396</v>
      </c>
      <c r="D348" s="66"/>
      <c r="E348" s="66"/>
      <c r="F348" s="66"/>
      <c r="G348" s="66"/>
      <c r="H348" s="66"/>
      <c r="I348" s="361" t="s">
        <v>54</v>
      </c>
      <c r="J348" s="66"/>
      <c r="K348" s="66"/>
      <c r="L348" s="203" t="s">
        <v>6</v>
      </c>
      <c r="M348" s="209" t="e">
        <f t="shared" si="16"/>
        <v>#REF!</v>
      </c>
      <c r="N348" s="155"/>
    </row>
    <row r="349" spans="2:14" ht="18" customHeight="1" x14ac:dyDescent="0.35">
      <c r="B349" s="152" t="e">
        <f>B348+1</f>
        <v>#REF!</v>
      </c>
      <c r="C349" s="2" t="s">
        <v>395</v>
      </c>
      <c r="D349" s="66"/>
      <c r="E349" s="66"/>
      <c r="F349" s="66"/>
      <c r="G349" s="66"/>
      <c r="H349" s="66"/>
      <c r="I349" s="361" t="s">
        <v>54</v>
      </c>
      <c r="J349" s="66"/>
      <c r="K349" s="66"/>
      <c r="L349" s="203">
        <v>127630</v>
      </c>
      <c r="M349" s="209" t="e">
        <f>M348+1</f>
        <v>#REF!</v>
      </c>
      <c r="N349" s="155"/>
    </row>
    <row r="350" spans="2:14" ht="18" customHeight="1" x14ac:dyDescent="0.35">
      <c r="B350" s="152" t="e">
        <f>B349+1</f>
        <v>#REF!</v>
      </c>
      <c r="C350" s="2" t="s">
        <v>397</v>
      </c>
      <c r="D350" s="66"/>
      <c r="E350" s="66"/>
      <c r="F350" s="66"/>
      <c r="G350" s="66"/>
      <c r="H350" s="66"/>
      <c r="I350" s="361" t="s">
        <v>54</v>
      </c>
      <c r="J350" s="66"/>
      <c r="K350" s="66"/>
      <c r="L350" s="203" t="s">
        <v>6</v>
      </c>
      <c r="M350" s="209" t="e">
        <f>M349+1</f>
        <v>#REF!</v>
      </c>
      <c r="N350" s="155"/>
    </row>
    <row r="351" spans="2:14" ht="18" customHeight="1" x14ac:dyDescent="0.35">
      <c r="B351" s="154"/>
      <c r="C351" s="20"/>
      <c r="D351" s="20"/>
      <c r="E351" s="20"/>
      <c r="F351" s="20"/>
      <c r="G351" s="20"/>
      <c r="H351" s="20"/>
      <c r="I351" s="20"/>
      <c r="J351" s="20"/>
      <c r="K351" s="20"/>
      <c r="L351" s="20"/>
      <c r="M351" s="20"/>
      <c r="N351" s="244"/>
    </row>
    <row r="352" spans="2:14" ht="18" customHeight="1" x14ac:dyDescent="0.35">
      <c r="B352" s="362" t="s">
        <v>54</v>
      </c>
      <c r="C352" s="2" t="s">
        <v>225</v>
      </c>
      <c r="D352" s="20"/>
      <c r="E352" s="20"/>
      <c r="F352" s="20"/>
      <c r="G352" s="20"/>
      <c r="H352" s="20"/>
      <c r="I352" s="20"/>
      <c r="J352" s="20"/>
      <c r="K352" s="20"/>
      <c r="L352" s="20"/>
      <c r="M352" s="1"/>
      <c r="N352" s="155"/>
    </row>
    <row r="353" spans="2:14" ht="18" customHeight="1" x14ac:dyDescent="0.35">
      <c r="B353" s="154"/>
      <c r="C353" s="455" t="s">
        <v>401</v>
      </c>
      <c r="D353" s="456"/>
      <c r="E353" s="456"/>
      <c r="F353" s="456"/>
      <c r="G353" s="456"/>
      <c r="H353" s="456"/>
      <c r="I353" s="456"/>
      <c r="J353" s="456"/>
      <c r="K353" s="456"/>
      <c r="L353" s="456"/>
      <c r="M353" s="457"/>
      <c r="N353" s="155"/>
    </row>
    <row r="354" spans="2:14" ht="18" customHeight="1" x14ac:dyDescent="0.35">
      <c r="B354" s="154"/>
      <c r="C354" s="458"/>
      <c r="D354" s="459"/>
      <c r="E354" s="459"/>
      <c r="F354" s="459"/>
      <c r="G354" s="459"/>
      <c r="H354" s="459"/>
      <c r="I354" s="459"/>
      <c r="J354" s="459"/>
      <c r="K354" s="459"/>
      <c r="L354" s="459"/>
      <c r="M354" s="460"/>
      <c r="N354" s="155"/>
    </row>
    <row r="355" spans="2:14" ht="11.25" customHeight="1" x14ac:dyDescent="0.35">
      <c r="B355" s="154"/>
      <c r="C355" s="461"/>
      <c r="D355" s="462"/>
      <c r="E355" s="462"/>
      <c r="F355" s="462"/>
      <c r="G355" s="462"/>
      <c r="H355" s="462"/>
      <c r="I355" s="462"/>
      <c r="J355" s="462"/>
      <c r="K355" s="462"/>
      <c r="L355" s="462"/>
      <c r="M355" s="463"/>
      <c r="N355" s="155"/>
    </row>
    <row r="356" spans="2:14" ht="18" customHeight="1" thickBot="1" x14ac:dyDescent="0.4">
      <c r="B356" s="61"/>
      <c r="C356" s="62"/>
      <c r="D356" s="62"/>
      <c r="E356" s="62"/>
      <c r="F356" s="62"/>
      <c r="G356" s="62"/>
      <c r="H356" s="62"/>
      <c r="I356" s="62"/>
      <c r="J356" s="194"/>
      <c r="K356" s="194"/>
      <c r="L356" s="62"/>
      <c r="M356" s="195"/>
      <c r="N356" s="191"/>
    </row>
    <row r="357" spans="2:14" ht="18" customHeight="1" thickBot="1" x14ac:dyDescent="0.4">
      <c r="B357" s="382" t="s">
        <v>226</v>
      </c>
      <c r="C357" s="451"/>
      <c r="D357" s="451"/>
      <c r="E357" s="451"/>
      <c r="F357" s="451"/>
      <c r="G357" s="451"/>
      <c r="H357" s="451"/>
      <c r="I357" s="451"/>
      <c r="J357" s="451"/>
      <c r="K357" s="451"/>
      <c r="L357" s="465" t="s">
        <v>26</v>
      </c>
      <c r="M357" s="465"/>
      <c r="N357" s="466"/>
    </row>
    <row r="358" spans="2:14" ht="18" customHeight="1" x14ac:dyDescent="0.35">
      <c r="B358" s="146"/>
      <c r="C358" s="196"/>
      <c r="D358" s="197"/>
      <c r="E358" s="197"/>
      <c r="F358" s="197"/>
      <c r="G358" s="197"/>
      <c r="H358" s="197"/>
      <c r="I358" s="197"/>
      <c r="J358" s="197"/>
      <c r="K358" s="197"/>
      <c r="L358" s="197"/>
      <c r="M358" s="196"/>
      <c r="N358" s="149"/>
    </row>
    <row r="359" spans="2:14" ht="18" customHeight="1" x14ac:dyDescent="0.35">
      <c r="B359" s="150"/>
      <c r="C359" s="491"/>
      <c r="D359" s="491"/>
      <c r="E359" s="491"/>
      <c r="F359" s="491"/>
      <c r="G359" s="491"/>
      <c r="H359" s="491"/>
      <c r="I359" s="491"/>
      <c r="J359" s="491"/>
      <c r="K359" s="491"/>
      <c r="L359" s="491"/>
      <c r="M359" s="491"/>
      <c r="N359" s="151"/>
    </row>
    <row r="360" spans="2:14" ht="18" customHeight="1" x14ac:dyDescent="0.35">
      <c r="B360" s="150"/>
      <c r="C360" s="491"/>
      <c r="D360" s="491"/>
      <c r="E360" s="491"/>
      <c r="F360" s="491"/>
      <c r="G360" s="491"/>
      <c r="H360" s="491"/>
      <c r="I360" s="491"/>
      <c r="J360" s="491"/>
      <c r="K360" s="491"/>
      <c r="L360" s="491"/>
      <c r="M360" s="491"/>
      <c r="N360" s="151"/>
    </row>
    <row r="361" spans="2:14" ht="18" customHeight="1" x14ac:dyDescent="0.35">
      <c r="B361" s="150"/>
      <c r="C361" s="49"/>
      <c r="D361" s="22"/>
      <c r="E361" s="22"/>
      <c r="F361" s="22"/>
      <c r="G361" s="22"/>
      <c r="H361" s="22"/>
      <c r="I361" s="22"/>
      <c r="J361" s="22"/>
      <c r="K361" s="22"/>
      <c r="L361" s="22"/>
      <c r="M361" s="49"/>
      <c r="N361" s="151"/>
    </row>
    <row r="362" spans="2:14" ht="2.5" customHeight="1" x14ac:dyDescent="0.35">
      <c r="B362" s="154"/>
      <c r="C362" s="41" t="s">
        <v>227</v>
      </c>
      <c r="D362" s="20"/>
      <c r="E362" s="20"/>
      <c r="F362" s="20"/>
      <c r="G362" s="20"/>
      <c r="H362" s="92"/>
      <c r="I362" s="92"/>
      <c r="J362" s="92"/>
      <c r="K362" s="9"/>
      <c r="L362" s="27"/>
      <c r="M362" s="1"/>
      <c r="N362" s="155"/>
    </row>
    <row r="363" spans="2:14" ht="3" customHeight="1" x14ac:dyDescent="0.35">
      <c r="B363" s="154"/>
      <c r="C363" s="10" t="s">
        <v>228</v>
      </c>
      <c r="D363" s="216"/>
      <c r="E363" s="216"/>
      <c r="F363" s="216"/>
      <c r="G363" s="216"/>
      <c r="H363" s="216"/>
      <c r="I363" s="216"/>
      <c r="J363" s="216"/>
      <c r="K363" s="216"/>
      <c r="L363" s="216"/>
      <c r="M363" s="1"/>
      <c r="N363" s="155"/>
    </row>
    <row r="364" spans="2:14" ht="5.15" customHeight="1" x14ac:dyDescent="0.35">
      <c r="B364" s="154"/>
      <c r="C364" s="10" t="s">
        <v>229</v>
      </c>
      <c r="D364" s="216"/>
      <c r="E364" s="216"/>
      <c r="F364" s="216"/>
      <c r="G364" s="216"/>
      <c r="H364" s="216"/>
      <c r="I364" s="216"/>
      <c r="J364" s="216"/>
      <c r="K364" s="216"/>
      <c r="L364" s="216"/>
      <c r="M364" s="1"/>
      <c r="N364" s="155"/>
    </row>
    <row r="365" spans="2:14" ht="5.5" customHeight="1" x14ac:dyDescent="0.35">
      <c r="B365" s="154"/>
      <c r="C365" s="10" t="s">
        <v>230</v>
      </c>
      <c r="D365" s="216"/>
      <c r="E365" s="216"/>
      <c r="F365" s="216"/>
      <c r="G365" s="216"/>
      <c r="H365" s="216"/>
      <c r="I365" s="216"/>
      <c r="J365" s="216"/>
      <c r="K365" s="216"/>
      <c r="L365" s="216"/>
      <c r="M365" s="1"/>
      <c r="N365" s="155"/>
    </row>
    <row r="366" spans="2:14" ht="18" customHeight="1" x14ac:dyDescent="0.35">
      <c r="B366" s="154"/>
      <c r="C366" s="455" t="s">
        <v>6</v>
      </c>
      <c r="D366" s="456"/>
      <c r="E366" s="456"/>
      <c r="F366" s="456"/>
      <c r="G366" s="456"/>
      <c r="H366" s="456"/>
      <c r="I366" s="456"/>
      <c r="J366" s="456"/>
      <c r="K366" s="456"/>
      <c r="L366" s="456"/>
      <c r="M366" s="457"/>
      <c r="N366" s="155"/>
    </row>
    <row r="367" spans="2:14" ht="12.75" customHeight="1" x14ac:dyDescent="0.35">
      <c r="B367" s="154"/>
      <c r="C367" s="458"/>
      <c r="D367" s="459"/>
      <c r="E367" s="459"/>
      <c r="F367" s="459"/>
      <c r="G367" s="459"/>
      <c r="H367" s="459"/>
      <c r="I367" s="459"/>
      <c r="J367" s="459"/>
      <c r="K367" s="459"/>
      <c r="L367" s="459"/>
      <c r="M367" s="460"/>
      <c r="N367" s="155"/>
    </row>
    <row r="368" spans="2:14" ht="12.75" customHeight="1" x14ac:dyDescent="0.35">
      <c r="B368" s="154"/>
      <c r="C368" s="461"/>
      <c r="D368" s="462"/>
      <c r="E368" s="462"/>
      <c r="F368" s="462"/>
      <c r="G368" s="462"/>
      <c r="H368" s="462"/>
      <c r="I368" s="462"/>
      <c r="J368" s="462"/>
      <c r="K368" s="462"/>
      <c r="L368" s="462"/>
      <c r="M368" s="463"/>
      <c r="N368" s="155"/>
    </row>
    <row r="369" spans="2:14" ht="12.75" customHeight="1" x14ac:dyDescent="0.35">
      <c r="B369" s="150"/>
      <c r="C369" s="221"/>
      <c r="D369" s="221"/>
      <c r="E369" s="221"/>
      <c r="F369" s="221"/>
      <c r="G369" s="221"/>
      <c r="H369" s="221"/>
      <c r="I369" s="221"/>
      <c r="J369" s="221"/>
      <c r="K369" s="221"/>
      <c r="L369" s="221"/>
      <c r="M369" s="221"/>
      <c r="N369" s="151"/>
    </row>
    <row r="370" spans="2:14" ht="18" customHeight="1" x14ac:dyDescent="0.35">
      <c r="B370" s="150"/>
      <c r="C370" s="41" t="s">
        <v>231</v>
      </c>
      <c r="D370" s="221"/>
      <c r="E370" s="221"/>
      <c r="F370" s="221"/>
      <c r="G370" s="221"/>
      <c r="H370" s="221"/>
      <c r="I370" s="221"/>
      <c r="J370" s="221"/>
      <c r="K370" s="221"/>
      <c r="L370" s="221"/>
      <c r="M370" s="221"/>
      <c r="N370" s="151"/>
    </row>
    <row r="371" spans="2:14" ht="18" customHeight="1" x14ac:dyDescent="0.35">
      <c r="B371" s="150"/>
      <c r="C371" s="221" t="s">
        <v>232</v>
      </c>
      <c r="D371" s="221"/>
      <c r="E371" s="221"/>
      <c r="F371" s="221"/>
      <c r="G371" s="221"/>
      <c r="H371" s="221"/>
      <c r="I371" s="221"/>
      <c r="J371" s="221"/>
      <c r="K371" s="221"/>
      <c r="L371" s="221"/>
      <c r="M371" s="221"/>
      <c r="N371" s="151"/>
    </row>
    <row r="372" spans="2:14" ht="18" customHeight="1" x14ac:dyDescent="0.35">
      <c r="B372" s="150"/>
      <c r="C372" s="221" t="s">
        <v>233</v>
      </c>
      <c r="D372" s="221"/>
      <c r="E372" s="221"/>
      <c r="F372" s="221"/>
      <c r="G372" s="221"/>
      <c r="H372" s="221"/>
      <c r="I372" s="221"/>
      <c r="J372" s="221"/>
      <c r="K372" s="221"/>
      <c r="L372" s="221"/>
      <c r="M372" s="221"/>
      <c r="N372" s="151"/>
    </row>
    <row r="373" spans="2:14" ht="12.75" customHeight="1" x14ac:dyDescent="0.35">
      <c r="B373" s="150"/>
      <c r="C373" s="49"/>
      <c r="D373" s="49"/>
      <c r="E373" s="49"/>
      <c r="F373" s="49"/>
      <c r="G373" s="49"/>
      <c r="H373" s="49"/>
      <c r="I373" s="49"/>
      <c r="J373" s="49"/>
      <c r="K373" s="49"/>
      <c r="L373" s="49"/>
      <c r="M373" s="49"/>
      <c r="N373" s="151"/>
    </row>
    <row r="374" spans="2:14" ht="12.75" customHeight="1" x14ac:dyDescent="0.35">
      <c r="B374" s="150"/>
      <c r="C374" s="222" t="s">
        <v>234</v>
      </c>
      <c r="D374" s="222"/>
      <c r="E374" s="222"/>
      <c r="F374" s="222"/>
      <c r="G374" s="222"/>
      <c r="H374" s="222"/>
      <c r="I374" s="222"/>
      <c r="J374" s="222"/>
      <c r="K374" s="222"/>
      <c r="L374" s="222"/>
      <c r="M374" s="49"/>
      <c r="N374" s="151"/>
    </row>
    <row r="375" spans="2:14" ht="12.75" customHeight="1" x14ac:dyDescent="0.35">
      <c r="B375" s="150"/>
      <c r="C375" s="222" t="s">
        <v>235</v>
      </c>
      <c r="D375" s="222"/>
      <c r="E375" s="222"/>
      <c r="F375" s="222"/>
      <c r="G375" s="222"/>
      <c r="H375" s="222"/>
      <c r="I375" s="222"/>
      <c r="J375" s="222"/>
      <c r="K375" s="222"/>
      <c r="L375" s="222"/>
      <c r="M375" s="1"/>
      <c r="N375" s="151"/>
    </row>
    <row r="376" spans="2:14" ht="12.75" customHeight="1" x14ac:dyDescent="0.35">
      <c r="B376" s="150"/>
      <c r="C376" s="49"/>
      <c r="D376" s="49"/>
      <c r="E376" s="49"/>
      <c r="F376" s="49"/>
      <c r="G376" s="49"/>
      <c r="H376" s="49"/>
      <c r="I376" s="49"/>
      <c r="J376" s="49"/>
      <c r="K376" s="49"/>
      <c r="L376" s="49"/>
      <c r="M376" s="49"/>
      <c r="N376" s="151"/>
    </row>
    <row r="377" spans="2:14" ht="12.75" customHeight="1" x14ac:dyDescent="0.35">
      <c r="B377" s="150"/>
      <c r="C377" s="223" t="s">
        <v>236</v>
      </c>
      <c r="D377" s="15"/>
      <c r="E377" s="15"/>
      <c r="F377" s="15"/>
      <c r="G377" s="15"/>
      <c r="H377" s="15"/>
      <c r="I377" s="15"/>
      <c r="J377" s="15"/>
      <c r="K377" s="15"/>
      <c r="L377" s="15"/>
      <c r="M377" s="15"/>
      <c r="N377" s="151"/>
    </row>
    <row r="378" spans="2:14" ht="12.75" customHeight="1" x14ac:dyDescent="0.35">
      <c r="B378" s="150"/>
      <c r="C378" s="455" t="s">
        <v>6</v>
      </c>
      <c r="D378" s="456"/>
      <c r="E378" s="456"/>
      <c r="F378" s="456"/>
      <c r="G378" s="456"/>
      <c r="H378" s="456"/>
      <c r="I378" s="456"/>
      <c r="J378" s="456"/>
      <c r="K378" s="456"/>
      <c r="L378" s="456"/>
      <c r="M378" s="457"/>
      <c r="N378" s="187"/>
    </row>
    <row r="379" spans="2:14" ht="12.75" customHeight="1" x14ac:dyDescent="0.35">
      <c r="B379" s="150"/>
      <c r="C379" s="458"/>
      <c r="D379" s="459"/>
      <c r="E379" s="459"/>
      <c r="F379" s="459"/>
      <c r="G379" s="459"/>
      <c r="H379" s="459"/>
      <c r="I379" s="459"/>
      <c r="J379" s="459"/>
      <c r="K379" s="459"/>
      <c r="L379" s="459"/>
      <c r="M379" s="460"/>
      <c r="N379" s="187"/>
    </row>
    <row r="380" spans="2:14" ht="12.75" customHeight="1" x14ac:dyDescent="0.35">
      <c r="B380" s="150"/>
      <c r="C380" s="461"/>
      <c r="D380" s="462"/>
      <c r="E380" s="462"/>
      <c r="F380" s="462"/>
      <c r="G380" s="462"/>
      <c r="H380" s="462"/>
      <c r="I380" s="462"/>
      <c r="J380" s="462"/>
      <c r="K380" s="462"/>
      <c r="L380" s="462"/>
      <c r="M380" s="463"/>
      <c r="N380" s="187"/>
    </row>
    <row r="381" spans="2:14" ht="18" customHeight="1" x14ac:dyDescent="0.35">
      <c r="B381" s="150"/>
      <c r="C381" s="49"/>
      <c r="D381" s="49"/>
      <c r="E381" s="49"/>
      <c r="F381" s="49"/>
      <c r="G381" s="49"/>
      <c r="H381" s="49"/>
      <c r="I381" s="49"/>
      <c r="J381" s="49"/>
      <c r="K381" s="49"/>
      <c r="L381" s="49"/>
      <c r="M381" s="1"/>
      <c r="N381" s="187"/>
    </row>
    <row r="382" spans="2:14" ht="18" customHeight="1" x14ac:dyDescent="0.35">
      <c r="B382" s="150"/>
      <c r="C382" s="41" t="s">
        <v>237</v>
      </c>
      <c r="D382" s="221"/>
      <c r="E382" s="221"/>
      <c r="F382" s="221"/>
      <c r="G382" s="221"/>
      <c r="H382" s="221"/>
      <c r="I382" s="221"/>
      <c r="J382" s="221"/>
      <c r="K382" s="221"/>
      <c r="L382" s="221"/>
      <c r="M382" s="221"/>
      <c r="N382" s="151"/>
    </row>
    <row r="383" spans="2:14" ht="18" customHeight="1" x14ac:dyDescent="0.35">
      <c r="B383" s="150"/>
      <c r="C383" s="217" t="s">
        <v>238</v>
      </c>
      <c r="D383" s="217"/>
      <c r="E383" s="217"/>
      <c r="F383" s="217"/>
      <c r="G383" s="217"/>
      <c r="H383" s="217"/>
      <c r="I383" s="217"/>
      <c r="J383" s="217"/>
      <c r="K383" s="217"/>
      <c r="L383" s="217"/>
      <c r="M383" s="1"/>
      <c r="N383" s="187"/>
    </row>
    <row r="384" spans="2:14" ht="18" customHeight="1" x14ac:dyDescent="0.35">
      <c r="B384" s="150"/>
      <c r="C384" s="455" t="s">
        <v>402</v>
      </c>
      <c r="D384" s="456"/>
      <c r="E384" s="456"/>
      <c r="F384" s="456"/>
      <c r="G384" s="456"/>
      <c r="H384" s="456"/>
      <c r="I384" s="456"/>
      <c r="J384" s="456"/>
      <c r="K384" s="456"/>
      <c r="L384" s="456"/>
      <c r="M384" s="457"/>
      <c r="N384" s="187"/>
    </row>
    <row r="385" spans="2:15" ht="18" customHeight="1" x14ac:dyDescent="0.35">
      <c r="B385" s="150"/>
      <c r="C385" s="458"/>
      <c r="D385" s="459"/>
      <c r="E385" s="459"/>
      <c r="F385" s="459"/>
      <c r="G385" s="459"/>
      <c r="H385" s="459"/>
      <c r="I385" s="459"/>
      <c r="J385" s="459"/>
      <c r="K385" s="459"/>
      <c r="L385" s="459"/>
      <c r="M385" s="460"/>
      <c r="N385" s="187"/>
    </row>
    <row r="386" spans="2:15" ht="12.75" customHeight="1" x14ac:dyDescent="0.35">
      <c r="B386" s="150"/>
      <c r="C386" s="461"/>
      <c r="D386" s="462"/>
      <c r="E386" s="462"/>
      <c r="F386" s="462"/>
      <c r="G386" s="462"/>
      <c r="H386" s="462"/>
      <c r="I386" s="462"/>
      <c r="J386" s="462"/>
      <c r="K386" s="462"/>
      <c r="L386" s="462"/>
      <c r="M386" s="463"/>
      <c r="N386" s="187"/>
    </row>
    <row r="387" spans="2:15" ht="18" customHeight="1" thickBot="1" x14ac:dyDescent="0.4">
      <c r="B387" s="198"/>
      <c r="C387" s="199"/>
      <c r="D387" s="199"/>
      <c r="E387" s="199"/>
      <c r="F387" s="199"/>
      <c r="G387" s="199"/>
      <c r="H387" s="199"/>
      <c r="I387" s="199"/>
      <c r="J387" s="199"/>
      <c r="K387" s="199"/>
      <c r="L387" s="199"/>
      <c r="M387" s="162"/>
      <c r="N387" s="191"/>
    </row>
    <row r="388" spans="2:15" ht="18" customHeight="1" x14ac:dyDescent="0.35"/>
    <row r="389" spans="2:15" ht="18" customHeight="1" x14ac:dyDescent="0.35">
      <c r="B389" s="405" t="e">
        <f>Contacts!B59</f>
        <v>#REF!</v>
      </c>
      <c r="C389" s="405"/>
      <c r="D389" s="405"/>
      <c r="E389" s="405"/>
      <c r="F389" s="405"/>
      <c r="G389" s="405"/>
      <c r="H389" s="405"/>
      <c r="I389" s="405"/>
      <c r="J389" s="405"/>
      <c r="K389" s="405"/>
      <c r="L389" s="405"/>
      <c r="M389" s="405"/>
      <c r="N389" s="405"/>
    </row>
    <row r="390" spans="2:15" ht="18" customHeight="1" x14ac:dyDescent="0.3">
      <c r="B390" s="417" t="str">
        <f>Contacts!B60</f>
        <v>The Chartered Institute of Public Finance and Accountancy (CIPFA)</v>
      </c>
      <c r="C390" s="417"/>
      <c r="D390" s="417"/>
      <c r="E390" s="417"/>
      <c r="F390" s="417"/>
      <c r="G390" s="417"/>
      <c r="H390" s="417"/>
      <c r="I390" s="417"/>
      <c r="J390" s="417"/>
      <c r="K390" s="417"/>
      <c r="L390" s="417"/>
      <c r="M390" s="417"/>
      <c r="O390" s="50"/>
    </row>
    <row r="391" spans="2:15" ht="18" customHeight="1" x14ac:dyDescent="0.3">
      <c r="B391" s="402" t="str">
        <f>Contacts!B61</f>
        <v>77 Mansell Street, London, E1 8AN</v>
      </c>
      <c r="C391" s="402"/>
      <c r="D391" s="402"/>
      <c r="E391" s="402"/>
      <c r="F391" s="402"/>
      <c r="G391" s="402"/>
      <c r="H391" s="402"/>
      <c r="I391" s="402"/>
      <c r="J391" s="402"/>
      <c r="K391" s="402"/>
      <c r="L391" s="402"/>
      <c r="M391" s="402"/>
      <c r="N391" s="402"/>
      <c r="O391" s="50"/>
    </row>
    <row r="392" spans="2:15" ht="12.75" customHeight="1" x14ac:dyDescent="0.3">
      <c r="O392" s="50"/>
    </row>
    <row r="393" spans="2:15" ht="12.75" customHeight="1" x14ac:dyDescent="0.3">
      <c r="O393" s="50"/>
    </row>
    <row r="394" spans="2:15" ht="12.75" customHeight="1" x14ac:dyDescent="0.3">
      <c r="O394" s="50"/>
    </row>
    <row r="395" spans="2:15" ht="12.75" customHeight="1" x14ac:dyDescent="0.3">
      <c r="O395" s="50"/>
    </row>
    <row r="396" spans="2:15" ht="12.75" customHeight="1" x14ac:dyDescent="0.3">
      <c r="O396" s="50"/>
    </row>
    <row r="397" spans="2:15" ht="18" customHeight="1" x14ac:dyDescent="0.3">
      <c r="O397" s="50"/>
    </row>
    <row r="398" spans="2:15" ht="18" customHeight="1" x14ac:dyDescent="0.3">
      <c r="O398" s="50"/>
    </row>
    <row r="399" spans="2:15" ht="18" customHeight="1" x14ac:dyDescent="0.3">
      <c r="O399" s="50"/>
    </row>
    <row r="400" spans="2:15" ht="18" customHeight="1" x14ac:dyDescent="0.3">
      <c r="O400" s="50"/>
    </row>
    <row r="401" spans="15:15" ht="18" customHeight="1" x14ac:dyDescent="0.3">
      <c r="O401" s="50"/>
    </row>
    <row r="402" spans="15:15" ht="18" customHeight="1" x14ac:dyDescent="0.3">
      <c r="O402" s="50"/>
    </row>
    <row r="403" spans="15:15" ht="18" customHeight="1" x14ac:dyDescent="0.3">
      <c r="O403" s="50"/>
    </row>
    <row r="404" spans="15:15" ht="18" customHeight="1" x14ac:dyDescent="0.3">
      <c r="O404" s="50"/>
    </row>
    <row r="405" spans="15:15" ht="18" customHeight="1" x14ac:dyDescent="0.3">
      <c r="O405" s="50"/>
    </row>
    <row r="406" spans="15:15" ht="18" customHeight="1" x14ac:dyDescent="0.3">
      <c r="O406" s="50"/>
    </row>
    <row r="407" spans="15:15" ht="18" customHeight="1" x14ac:dyDescent="0.3">
      <c r="O407" s="50"/>
    </row>
    <row r="408" spans="15:15" ht="18" customHeight="1" x14ac:dyDescent="0.3">
      <c r="O408" s="50"/>
    </row>
    <row r="409" spans="15:15" ht="18" customHeight="1" x14ac:dyDescent="0.3">
      <c r="O409" s="50"/>
    </row>
    <row r="410" spans="15:15" ht="18" customHeight="1" x14ac:dyDescent="0.3">
      <c r="O410" s="50"/>
    </row>
    <row r="411" spans="15:15" ht="18" customHeight="1" x14ac:dyDescent="0.3">
      <c r="O411" s="50"/>
    </row>
    <row r="412" spans="15:15" ht="18" customHeight="1" x14ac:dyDescent="0.3">
      <c r="O412" s="50"/>
    </row>
    <row r="413" spans="15:15" ht="18" customHeight="1" x14ac:dyDescent="0.3">
      <c r="O413" s="50"/>
    </row>
    <row r="414" spans="15:15" ht="18" customHeight="1" x14ac:dyDescent="0.3">
      <c r="O414" s="50"/>
    </row>
    <row r="415" spans="15:15" ht="18" customHeight="1" x14ac:dyDescent="0.3">
      <c r="O415" s="50"/>
    </row>
    <row r="416" spans="15:15" ht="18" customHeight="1" x14ac:dyDescent="0.3">
      <c r="O416" s="50"/>
    </row>
    <row r="417" spans="15:15" ht="18" customHeight="1" x14ac:dyDescent="0.3">
      <c r="O417" s="50"/>
    </row>
    <row r="418" spans="15:15" ht="18" customHeight="1" x14ac:dyDescent="0.3">
      <c r="O418" s="50"/>
    </row>
    <row r="419" spans="15:15" ht="18" customHeight="1" x14ac:dyDescent="0.3">
      <c r="O419" s="50"/>
    </row>
    <row r="420" spans="15:15" ht="18" customHeight="1" x14ac:dyDescent="0.3">
      <c r="O420" s="50"/>
    </row>
    <row r="421" spans="15:15" ht="18" customHeight="1" x14ac:dyDescent="0.3">
      <c r="O421" s="50"/>
    </row>
    <row r="422" spans="15:15" ht="18" customHeight="1" x14ac:dyDescent="0.3">
      <c r="O422" s="50"/>
    </row>
    <row r="423" spans="15:15" ht="18" customHeight="1" x14ac:dyDescent="0.3">
      <c r="O423" s="50"/>
    </row>
    <row r="424" spans="15:15" ht="18" customHeight="1" x14ac:dyDescent="0.3">
      <c r="O424" s="50"/>
    </row>
    <row r="425" spans="15:15" ht="18" customHeight="1" x14ac:dyDescent="0.3">
      <c r="O425" s="50"/>
    </row>
    <row r="426" spans="15:15" ht="18" customHeight="1" x14ac:dyDescent="0.3">
      <c r="O426" s="50"/>
    </row>
    <row r="427" spans="15:15" ht="18" customHeight="1" x14ac:dyDescent="0.35"/>
    <row r="428" spans="15:15" ht="18" customHeight="1" x14ac:dyDescent="0.35"/>
    <row r="429" spans="15:15" ht="18" customHeight="1" x14ac:dyDescent="0.35"/>
    <row r="430" spans="15:15" ht="18" customHeight="1" x14ac:dyDescent="0.35"/>
    <row r="431" spans="15:15" ht="18" customHeight="1" x14ac:dyDescent="0.35"/>
    <row r="432" spans="15:15" ht="18" customHeight="1" x14ac:dyDescent="0.35"/>
    <row r="433" ht="18" customHeight="1" x14ac:dyDescent="0.35"/>
    <row r="434" ht="18" customHeight="1" x14ac:dyDescent="0.35"/>
    <row r="435" ht="18" customHeight="1" x14ac:dyDescent="0.35"/>
    <row r="436" ht="18" customHeight="1" x14ac:dyDescent="0.35"/>
    <row r="437" ht="18" customHeight="1" x14ac:dyDescent="0.35"/>
    <row r="438" ht="18" customHeight="1" x14ac:dyDescent="0.35"/>
    <row r="439" ht="18" customHeight="1" x14ac:dyDescent="0.35"/>
    <row r="440" ht="18" customHeight="1" x14ac:dyDescent="0.35"/>
    <row r="441" ht="18" customHeight="1" x14ac:dyDescent="0.35"/>
    <row r="442" ht="18" customHeight="1" x14ac:dyDescent="0.35"/>
    <row r="443" ht="18" customHeight="1" x14ac:dyDescent="0.35"/>
    <row r="444" ht="18" customHeight="1" x14ac:dyDescent="0.35"/>
    <row r="445" ht="18" customHeight="1" x14ac:dyDescent="0.35"/>
    <row r="446" ht="18" customHeight="1" x14ac:dyDescent="0.35"/>
    <row r="447" ht="18" customHeight="1" x14ac:dyDescent="0.35"/>
    <row r="448" ht="18" customHeight="1" x14ac:dyDescent="0.35"/>
    <row r="449" ht="18" customHeight="1" x14ac:dyDescent="0.35"/>
    <row r="450" ht="18" customHeight="1" x14ac:dyDescent="0.35"/>
    <row r="451" ht="18" customHeight="1" x14ac:dyDescent="0.35"/>
    <row r="452" ht="18" customHeight="1" x14ac:dyDescent="0.35"/>
    <row r="453" ht="18" customHeight="1" x14ac:dyDescent="0.35"/>
    <row r="454" ht="18" customHeight="1" x14ac:dyDescent="0.35"/>
    <row r="455" ht="18" customHeight="1" x14ac:dyDescent="0.35"/>
    <row r="456" ht="18" customHeight="1" x14ac:dyDescent="0.35"/>
    <row r="457" ht="18" customHeight="1" x14ac:dyDescent="0.35"/>
    <row r="458" ht="18" customHeight="1" x14ac:dyDescent="0.35"/>
    <row r="459" ht="18" customHeight="1" x14ac:dyDescent="0.35"/>
    <row r="460" ht="18" customHeight="1" x14ac:dyDescent="0.35"/>
    <row r="461" ht="18" customHeight="1" x14ac:dyDescent="0.35"/>
    <row r="462" ht="18" customHeight="1" x14ac:dyDescent="0.35"/>
    <row r="463" ht="18" customHeight="1" x14ac:dyDescent="0.35"/>
    <row r="464" ht="18" customHeight="1" x14ac:dyDescent="0.35"/>
    <row r="465" ht="18" customHeight="1" x14ac:dyDescent="0.35"/>
    <row r="466" ht="18" customHeight="1" x14ac:dyDescent="0.35"/>
    <row r="467" ht="18" customHeight="1" x14ac:dyDescent="0.35"/>
    <row r="468" ht="18" customHeight="1" x14ac:dyDescent="0.35"/>
    <row r="469" ht="18" customHeight="1" x14ac:dyDescent="0.35"/>
    <row r="470" ht="18" customHeight="1" x14ac:dyDescent="0.35"/>
    <row r="471" ht="18" customHeight="1" x14ac:dyDescent="0.35"/>
    <row r="472" ht="18" customHeight="1" x14ac:dyDescent="0.35"/>
  </sheetData>
  <sheetProtection selectLockedCells="1"/>
  <mergeCells count="97">
    <mergeCell ref="C384:M386"/>
    <mergeCell ref="C378:M380"/>
    <mergeCell ref="B184:K184"/>
    <mergeCell ref="G156:K156"/>
    <mergeCell ref="B391:N391"/>
    <mergeCell ref="B390:M390"/>
    <mergeCell ref="B389:N389"/>
    <mergeCell ref="C262:L262"/>
    <mergeCell ref="L221:N221"/>
    <mergeCell ref="D287:H287"/>
    <mergeCell ref="C240:M240"/>
    <mergeCell ref="C241:M241"/>
    <mergeCell ref="B221:K221"/>
    <mergeCell ref="C245:N245"/>
    <mergeCell ref="C319:L320"/>
    <mergeCell ref="C321:L322"/>
    <mergeCell ref="B6:N6"/>
    <mergeCell ref="C45:L45"/>
    <mergeCell ref="C57:L59"/>
    <mergeCell ref="C157:L158"/>
    <mergeCell ref="G75:K76"/>
    <mergeCell ref="C104:L105"/>
    <mergeCell ref="D129:J130"/>
    <mergeCell ref="D121:K121"/>
    <mergeCell ref="C136:L137"/>
    <mergeCell ref="C122:L123"/>
    <mergeCell ref="B148:K148"/>
    <mergeCell ref="B113:B114"/>
    <mergeCell ref="B129:B130"/>
    <mergeCell ref="F31:K31"/>
    <mergeCell ref="I34:J35"/>
    <mergeCell ref="L61:L63"/>
    <mergeCell ref="C89:L90"/>
    <mergeCell ref="D113:J114"/>
    <mergeCell ref="B180:B181"/>
    <mergeCell ref="D160:J160"/>
    <mergeCell ref="C175:L176"/>
    <mergeCell ref="L165:N165"/>
    <mergeCell ref="B165:K165"/>
    <mergeCell ref="C5:M5"/>
    <mergeCell ref="B73:N73"/>
    <mergeCell ref="C8:M9"/>
    <mergeCell ref="C10:M11"/>
    <mergeCell ref="B7:K7"/>
    <mergeCell ref="L7:N7"/>
    <mergeCell ref="L72:N72"/>
    <mergeCell ref="B72:K72"/>
    <mergeCell ref="C12:M12"/>
    <mergeCell ref="C36:L37"/>
    <mergeCell ref="E32:K32"/>
    <mergeCell ref="C13:M13"/>
    <mergeCell ref="E51:G51"/>
    <mergeCell ref="C48:L48"/>
    <mergeCell ref="E54:G54"/>
    <mergeCell ref="C366:M368"/>
    <mergeCell ref="C359:M360"/>
    <mergeCell ref="B261:N261"/>
    <mergeCell ref="B325:K325"/>
    <mergeCell ref="L325:N325"/>
    <mergeCell ref="E318:I318"/>
    <mergeCell ref="B337:K337"/>
    <mergeCell ref="L337:N337"/>
    <mergeCell ref="L357:N357"/>
    <mergeCell ref="B357:K357"/>
    <mergeCell ref="H332:J332"/>
    <mergeCell ref="B260:K260"/>
    <mergeCell ref="B235:K235"/>
    <mergeCell ref="D180:J181"/>
    <mergeCell ref="L159:N159"/>
    <mergeCell ref="C67:L67"/>
    <mergeCell ref="C259:J259"/>
    <mergeCell ref="L148:N148"/>
    <mergeCell ref="L210:N210"/>
    <mergeCell ref="F174:K174"/>
    <mergeCell ref="C194:L194"/>
    <mergeCell ref="F103:K103"/>
    <mergeCell ref="B159:K159"/>
    <mergeCell ref="D134:K135"/>
    <mergeCell ref="L106:N106"/>
    <mergeCell ref="B106:K106"/>
    <mergeCell ref="L138:N138"/>
    <mergeCell ref="B210:K210"/>
    <mergeCell ref="C236:L237"/>
    <mergeCell ref="B138:K138"/>
    <mergeCell ref="C353:M355"/>
    <mergeCell ref="C335:L335"/>
    <mergeCell ref="L260:N260"/>
    <mergeCell ref="D277:H278"/>
    <mergeCell ref="C185:L186"/>
    <mergeCell ref="C227:L228"/>
    <mergeCell ref="F226:K226"/>
    <mergeCell ref="C313:G313"/>
    <mergeCell ref="B195:K195"/>
    <mergeCell ref="L195:N195"/>
    <mergeCell ref="L254:N254"/>
    <mergeCell ref="B254:K254"/>
    <mergeCell ref="B277:B278"/>
  </mergeCells>
  <phoneticPr fontId="0" type="noConversion"/>
  <conditionalFormatting sqref="C262:L262 C335:L335">
    <cfRule type="cellIs" dxfId="21" priority="38" stopIfTrue="1" operator="equal">
      <formula>0</formula>
    </cfRule>
  </conditionalFormatting>
  <conditionalFormatting sqref="D243:L244">
    <cfRule type="cellIs" dxfId="20" priority="42" stopIfTrue="1" operator="notEqual">
      <formula>""""""</formula>
    </cfRule>
  </conditionalFormatting>
  <conditionalFormatting sqref="J316">
    <cfRule type="expression" dxfId="19" priority="28" stopIfTrue="1">
      <formula>$C$321&lt;&gt;""</formula>
    </cfRule>
  </conditionalFormatting>
  <conditionalFormatting sqref="L32:L33">
    <cfRule type="containsText" dxfId="18" priority="6" stopIfTrue="1" operator="containsText" text="..">
      <formula>NOT(ISERROR(SEARCH("..",L32)))</formula>
    </cfRule>
    <cfRule type="cellIs" dxfId="17" priority="7" stopIfTrue="1" operator="lessThan">
      <formula>0</formula>
    </cfRule>
    <cfRule type="cellIs" dxfId="16" priority="8" stopIfTrue="1" operator="greaterThan">
      <formula>0</formula>
    </cfRule>
  </conditionalFormatting>
  <conditionalFormatting sqref="L88">
    <cfRule type="expression" dxfId="15" priority="2" stopIfTrue="1">
      <formula>$C$89&lt;&gt;""</formula>
    </cfRule>
  </conditionalFormatting>
  <conditionalFormatting sqref="L101">
    <cfRule type="expression" dxfId="14" priority="9" stopIfTrue="1">
      <formula>$C$104&lt;&gt;""</formula>
    </cfRule>
  </conditionalFormatting>
  <conditionalFormatting sqref="L119">
    <cfRule type="expression" dxfId="13" priority="10" stopIfTrue="1">
      <formula>$C$122&lt;&gt;""</formula>
    </cfRule>
  </conditionalFormatting>
  <conditionalFormatting sqref="L132">
    <cfRule type="expression" dxfId="12" priority="12" stopIfTrue="1">
      <formula>$C$136&lt;&gt;""</formula>
    </cfRule>
  </conditionalFormatting>
  <conditionalFormatting sqref="L154">
    <cfRule type="expression" dxfId="11" priority="13" stopIfTrue="1">
      <formula>$C$157&lt;&gt;""</formula>
    </cfRule>
  </conditionalFormatting>
  <conditionalFormatting sqref="L172">
    <cfRule type="expression" dxfId="10" priority="14" stopIfTrue="1">
      <formula>$C$175&lt;&gt;""</formula>
    </cfRule>
  </conditionalFormatting>
  <conditionalFormatting sqref="L182">
    <cfRule type="expression" dxfId="9" priority="60" stopIfTrue="1">
      <formula>$C$185&lt;&gt;""</formula>
    </cfRule>
  </conditionalFormatting>
  <conditionalFormatting sqref="L200">
    <cfRule type="cellIs" dxfId="8" priority="18" stopIfTrue="1" operator="greaterThan">
      <formula>$L$198</formula>
    </cfRule>
  </conditionalFormatting>
  <conditionalFormatting sqref="L203">
    <cfRule type="cellIs" dxfId="7" priority="19" stopIfTrue="1" operator="greaterThan">
      <formula>$L$205</formula>
    </cfRule>
  </conditionalFormatting>
  <conditionalFormatting sqref="L205">
    <cfRule type="cellIs" dxfId="6" priority="21" stopIfTrue="1" operator="lessThan">
      <formula>$L$203</formula>
    </cfRule>
  </conditionalFormatting>
  <conditionalFormatting sqref="L207">
    <cfRule type="cellIs" dxfId="5" priority="20" stopIfTrue="1" operator="lessThan">
      <formula>$L$205</formula>
    </cfRule>
  </conditionalFormatting>
  <conditionalFormatting sqref="L215">
    <cfRule type="cellIs" dxfId="4" priority="33" stopIfTrue="1" operator="greaterThan">
      <formula>$L$213</formula>
    </cfRule>
  </conditionalFormatting>
  <conditionalFormatting sqref="L224">
    <cfRule type="expression" dxfId="3" priority="26" stopIfTrue="1">
      <formula>$C$227&lt;&gt;""</formula>
    </cfRule>
  </conditionalFormatting>
  <conditionalFormatting sqref="L233">
    <cfRule type="expression" dxfId="2" priority="59" stopIfTrue="1">
      <formula>$C$236&lt;&gt;""</formula>
    </cfRule>
  </conditionalFormatting>
  <conditionalFormatting sqref="L316">
    <cfRule type="expression" dxfId="1" priority="58" stopIfTrue="1">
      <formula>$C$319&lt;&gt;""</formula>
    </cfRule>
  </conditionalFormatting>
  <conditionalFormatting sqref="C67:L67">
    <cfRule type="expression" dxfId="0" priority="61" stopIfTrue="1">
      <formula>#REF!=1</formula>
    </cfRule>
  </conditionalFormatting>
  <dataValidations xWindow="872" yWindow="772" count="4">
    <dataValidation type="list" allowBlank="1" showInputMessage="1" showErrorMessage="1" sqref="L219 L247" xr:uid="{00000000-0002-0000-0200-000000000000}">
      <formula1>DropDown</formula1>
    </dataValidation>
    <dataValidation type="list" allowBlank="1" showInputMessage="1" showErrorMessage="1" sqref="E51:G51 E54:G54" xr:uid="{00000000-0002-0000-0200-000001000000}">
      <formula1>service_names</formula1>
    </dataValidation>
    <dataValidation errorStyle="warning" allowBlank="1" sqref="C36 L32:L35" xr:uid="{00000000-0002-0000-0200-000002000000}"/>
    <dataValidation allowBlank="1" showErrorMessage="1" sqref="L101" xr:uid="{00000000-0002-0000-0200-000003000000}"/>
  </dataValidations>
  <hyperlinks>
    <hyperlink ref="C12:L12" location="Service_Points_Tab" display="To go to 'Service Points Tab' Click here" xr:uid="{00000000-0004-0000-0200-000000000000}"/>
    <hyperlink ref="L159" location="Note5" display="?" xr:uid="{00000000-0004-0000-0200-000001000000}"/>
    <hyperlink ref="L165" location="Note6" display="?" xr:uid="{00000000-0004-0000-0200-000002000000}"/>
    <hyperlink ref="L195" location="Note7" display="?" xr:uid="{00000000-0004-0000-0200-000003000000}"/>
    <hyperlink ref="L210" location="Note8" display="?" xr:uid="{00000000-0004-0000-0200-000004000000}"/>
    <hyperlink ref="L221" location="Note9" display="?" xr:uid="{00000000-0004-0000-0200-000005000000}"/>
    <hyperlink ref="L254" location="Note10" display="?" xr:uid="{00000000-0004-0000-0200-000006000000}"/>
    <hyperlink ref="L260" location="Note11" display="?" xr:uid="{00000000-0004-0000-0200-000007000000}"/>
    <hyperlink ref="L325" location="Note12" display="?" xr:uid="{00000000-0004-0000-0200-000008000000}"/>
    <hyperlink ref="L357" location="Note13" display="?" xr:uid="{00000000-0004-0000-0200-000009000000}"/>
    <hyperlink ref="C12:M12" location="'Service Points'!A1" display="To go to the 'Service Points' tab, click here" xr:uid="{00000000-0004-0000-0200-00000A000000}"/>
    <hyperlink ref="L7" location="Note1" display="?" xr:uid="{00000000-0004-0000-0200-00000B000000}"/>
    <hyperlink ref="L72" location="Note2" display="?" xr:uid="{00000000-0004-0000-0200-00000C000000}"/>
    <hyperlink ref="L106" location="Note3" display="?" xr:uid="{00000000-0004-0000-0200-00000D000000}"/>
    <hyperlink ref="L148" location="Note4" display="?" xr:uid="{00000000-0004-0000-0200-00000E000000}"/>
    <hyperlink ref="L7:N7" location="Note1" display="      Go to Guidance --&gt;" xr:uid="{00000000-0004-0000-0200-00000F000000}"/>
    <hyperlink ref="L138" location="Note3" display="?" xr:uid="{00000000-0004-0000-0200-000010000000}"/>
    <hyperlink ref="L138:N138" location="Note4" display="      Go to Guidance --&gt;" xr:uid="{00000000-0004-0000-0200-000011000000}"/>
    <hyperlink ref="L148:N148" location="Note5" display="               Go to Guidance --&gt;" xr:uid="{00000000-0004-0000-0200-000012000000}"/>
    <hyperlink ref="L159:N159" location="Note6" display="Go to Guidance --&gt;" xr:uid="{00000000-0004-0000-0200-000013000000}"/>
    <hyperlink ref="L165:N165" location="Note7" display="Go to Guidance --&gt;" xr:uid="{00000000-0004-0000-0200-000014000000}"/>
    <hyperlink ref="L195:N195" location="Note8" display="Go to Guidance --&gt;" xr:uid="{00000000-0004-0000-0200-000015000000}"/>
    <hyperlink ref="L210:N210" location="Note9" display="Go to Guidance --&gt;" xr:uid="{00000000-0004-0000-0200-000016000000}"/>
    <hyperlink ref="L221:N221" location="Note10" display="Go to Guidance --&gt;" xr:uid="{00000000-0004-0000-0200-000017000000}"/>
    <hyperlink ref="L254:N254" location="Note11" display="Go to Guidance --&gt;" xr:uid="{00000000-0004-0000-0200-000018000000}"/>
    <hyperlink ref="L260:N260" location="Note12" display="Go to Guidance --&gt;" xr:uid="{00000000-0004-0000-0200-000019000000}"/>
    <hyperlink ref="L325:N325" location="Note13" display="Go to Guidance --&gt;" xr:uid="{00000000-0004-0000-0200-00001A000000}"/>
    <hyperlink ref="L357:N357" location="Note14" display="Go to Guidance --&gt;" xr:uid="{00000000-0004-0000-0200-00001B000000}"/>
  </hyperlinks>
  <printOptions horizontalCentered="1"/>
  <pageMargins left="0.23622047244094491" right="0.23622047244094491" top="0.19685039370078741" bottom="0.19685039370078741" header="0" footer="0"/>
  <pageSetup paperSize="9" scale="72" fitToWidth="6" fitToHeight="6" orientation="portrait" r:id="rId1"/>
  <headerFooter alignWithMargins="0"/>
  <rowBreaks count="6" manualBreakCount="6">
    <brk id="71" min="9" max="14" man="1"/>
    <brk id="107" max="16383" man="1"/>
    <brk id="147" min="9" max="14" man="1"/>
    <brk id="209" min="9" max="14" man="1"/>
    <brk id="259" min="9" max="14" man="1"/>
    <brk id="324" min="9"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tint="0.39997558519241921"/>
    <pageSetUpPr autoPageBreaks="0"/>
  </sheetPr>
  <dimension ref="A1:Q688"/>
  <sheetViews>
    <sheetView showGridLines="0" showRowColHeaders="0" zoomScaleNormal="100" zoomScaleSheetLayoutView="100" workbookViewId="0">
      <selection activeCell="B10" sqref="B10:P10"/>
    </sheetView>
  </sheetViews>
  <sheetFormatPr defaultColWidth="0" defaultRowHeight="0" customHeight="1" zeroHeight="1" x14ac:dyDescent="0.35"/>
  <cols>
    <col min="1" max="1" width="0.765625" style="126" customWidth="1"/>
    <col min="2" max="2" width="1.23046875" style="126" customWidth="1"/>
    <col min="3" max="3" width="8.84375" style="126" customWidth="1"/>
    <col min="4" max="4" width="3.07421875" style="126" customWidth="1"/>
    <col min="5" max="9" width="6.3046875" style="126" customWidth="1"/>
    <col min="10" max="10" width="2.4609375" style="126" customWidth="1"/>
    <col min="11" max="15" width="6.3046875" style="126" customWidth="1"/>
    <col min="16" max="16" width="1.23046875" style="126" customWidth="1"/>
    <col min="17" max="17" width="1.69140625" style="126" customWidth="1"/>
    <col min="18" max="255" width="8.84375" style="126" hidden="1" customWidth="1"/>
    <col min="256" max="16384" width="8.84375" style="126" hidden="1"/>
  </cols>
  <sheetData>
    <row r="1" spans="1:17" ht="12.75" customHeight="1" x14ac:dyDescent="0.35">
      <c r="A1" s="358"/>
      <c r="B1" s="256"/>
      <c r="C1" s="535"/>
      <c r="D1" s="535"/>
      <c r="E1" s="535"/>
      <c r="F1" s="535"/>
      <c r="G1" s="535"/>
      <c r="H1" s="535"/>
      <c r="I1" s="535"/>
      <c r="J1" s="535"/>
      <c r="K1" s="535"/>
      <c r="L1" s="535"/>
      <c r="M1" s="257"/>
      <c r="N1" s="257"/>
      <c r="O1" s="257"/>
      <c r="P1" s="256"/>
      <c r="Q1" s="256"/>
    </row>
    <row r="2" spans="1:17" ht="12.75" customHeight="1" x14ac:dyDescent="0.35">
      <c r="A2" s="256"/>
      <c r="B2" s="257"/>
      <c r="C2" s="257"/>
      <c r="D2" s="257"/>
      <c r="E2" s="257"/>
      <c r="F2" s="257"/>
      <c r="G2" s="257"/>
      <c r="H2" s="257"/>
      <c r="I2" s="257"/>
      <c r="J2" s="257"/>
      <c r="K2" s="257"/>
      <c r="L2" s="257"/>
      <c r="M2" s="257"/>
      <c r="N2" s="257"/>
      <c r="O2" s="257"/>
      <c r="P2" s="256"/>
      <c r="Q2" s="256"/>
    </row>
    <row r="3" spans="1:17" ht="12.75" customHeight="1" x14ac:dyDescent="0.35">
      <c r="A3" s="256"/>
      <c r="B3" s="257"/>
      <c r="C3" s="257"/>
      <c r="D3" s="257"/>
      <c r="E3" s="257"/>
      <c r="F3" s="257"/>
      <c r="G3" s="257"/>
      <c r="H3" s="257"/>
      <c r="I3" s="257"/>
      <c r="J3" s="257"/>
      <c r="K3" s="257"/>
      <c r="L3" s="257"/>
      <c r="M3" s="257"/>
      <c r="N3" s="257"/>
      <c r="O3" s="257"/>
      <c r="P3" s="256"/>
      <c r="Q3" s="256"/>
    </row>
    <row r="4" spans="1:17" ht="12.75" customHeight="1" x14ac:dyDescent="0.35">
      <c r="A4" s="256"/>
      <c r="B4" s="257"/>
      <c r="C4" s="257"/>
      <c r="D4" s="257"/>
      <c r="E4" s="257"/>
      <c r="F4" s="257"/>
      <c r="G4" s="257"/>
      <c r="H4" s="257"/>
      <c r="I4" s="257"/>
      <c r="J4" s="257"/>
      <c r="K4" s="257"/>
      <c r="L4" s="257"/>
      <c r="M4" s="257"/>
      <c r="N4" s="257"/>
      <c r="O4" s="257"/>
      <c r="P4" s="256"/>
      <c r="Q4" s="256"/>
    </row>
    <row r="5" spans="1:17" ht="12.75" customHeight="1" x14ac:dyDescent="0.35">
      <c r="A5" s="256"/>
      <c r="B5" s="257"/>
      <c r="C5" s="257"/>
      <c r="D5" s="257"/>
      <c r="E5" s="257"/>
      <c r="F5" s="257"/>
      <c r="G5" s="257"/>
      <c r="H5" s="257"/>
      <c r="I5" s="257"/>
      <c r="J5" s="257"/>
      <c r="K5" s="257"/>
      <c r="L5" s="257"/>
      <c r="M5" s="257"/>
      <c r="N5" s="257"/>
      <c r="O5" s="257"/>
      <c r="P5" s="256"/>
      <c r="Q5" s="256"/>
    </row>
    <row r="6" spans="1:17" ht="12.75" customHeight="1" x14ac:dyDescent="0.35">
      <c r="A6" s="358"/>
      <c r="B6" s="257"/>
      <c r="C6" s="257"/>
      <c r="D6" s="257"/>
      <c r="E6" s="257"/>
      <c r="F6" s="257"/>
      <c r="G6" s="257"/>
      <c r="H6" s="257"/>
      <c r="I6" s="257"/>
      <c r="J6" s="257"/>
      <c r="K6" s="257"/>
      <c r="L6" s="257"/>
      <c r="M6" s="257"/>
      <c r="N6" s="257"/>
      <c r="O6" s="257"/>
      <c r="P6" s="256"/>
      <c r="Q6" s="256"/>
    </row>
    <row r="7" spans="1:17" ht="12.75" customHeight="1" x14ac:dyDescent="0.35">
      <c r="A7" s="256"/>
      <c r="B7" s="256"/>
      <c r="C7" s="543" t="e">
        <f>Contacts!C7</f>
        <v>#REF!</v>
      </c>
      <c r="D7" s="543"/>
      <c r="E7" s="543"/>
      <c r="F7" s="543"/>
      <c r="G7" s="543"/>
      <c r="H7" s="543"/>
      <c r="I7" s="543"/>
      <c r="J7" s="543"/>
      <c r="K7" s="543"/>
      <c r="L7" s="543"/>
      <c r="M7" s="543"/>
      <c r="N7" s="543"/>
      <c r="O7" s="543"/>
      <c r="P7" s="359"/>
      <c r="Q7" s="256"/>
    </row>
    <row r="8" spans="1:17" ht="12.75" customHeight="1" x14ac:dyDescent="0.35">
      <c r="A8" s="256"/>
      <c r="B8" s="257"/>
      <c r="C8" s="257"/>
      <c r="D8" s="257"/>
      <c r="E8" s="257"/>
      <c r="F8" s="257"/>
      <c r="G8" s="257"/>
      <c r="H8" s="257"/>
      <c r="I8" s="257"/>
      <c r="J8" s="257"/>
      <c r="K8" s="257"/>
      <c r="L8" s="257"/>
      <c r="M8" s="257"/>
      <c r="N8" s="257"/>
      <c r="O8" s="257"/>
      <c r="P8" s="256"/>
      <c r="Q8" s="256"/>
    </row>
    <row r="9" spans="1:17" s="94" customFormat="1" ht="12.75" customHeight="1" thickBot="1" x14ac:dyDescent="0.4">
      <c r="A9" s="261"/>
      <c r="B9" s="260"/>
      <c r="C9" s="260"/>
      <c r="D9" s="260"/>
      <c r="E9" s="257"/>
      <c r="F9" s="257"/>
      <c r="G9" s="257"/>
      <c r="H9" s="257"/>
      <c r="I9" s="257"/>
      <c r="J9" s="257"/>
      <c r="K9" s="257"/>
      <c r="L9" s="257"/>
      <c r="M9" s="257"/>
      <c r="N9" s="257"/>
      <c r="O9" s="257"/>
      <c r="P9" s="260"/>
      <c r="Q9" s="261"/>
    </row>
    <row r="10" spans="1:17" s="242" customFormat="1" ht="15.75" customHeight="1" thickBot="1" x14ac:dyDescent="0.4">
      <c r="A10" s="258"/>
      <c r="B10" s="536" t="s">
        <v>239</v>
      </c>
      <c r="C10" s="537"/>
      <c r="D10" s="537"/>
      <c r="E10" s="537"/>
      <c r="F10" s="537"/>
      <c r="G10" s="537"/>
      <c r="H10" s="537"/>
      <c r="I10" s="537"/>
      <c r="J10" s="537"/>
      <c r="K10" s="537"/>
      <c r="L10" s="537"/>
      <c r="M10" s="537"/>
      <c r="N10" s="537"/>
      <c r="O10" s="537"/>
      <c r="P10" s="538"/>
      <c r="Q10" s="258"/>
    </row>
    <row r="11" spans="1:17" ht="12.75" customHeight="1" x14ac:dyDescent="0.35">
      <c r="A11" s="256"/>
      <c r="B11" s="262"/>
      <c r="C11" s="263"/>
      <c r="D11" s="263"/>
      <c r="E11" s="263"/>
      <c r="F11" s="263"/>
      <c r="G11" s="263"/>
      <c r="H11" s="263"/>
      <c r="I11" s="263"/>
      <c r="J11" s="263"/>
      <c r="K11" s="263"/>
      <c r="L11" s="263"/>
      <c r="M11" s="263"/>
      <c r="N11" s="263"/>
      <c r="O11" s="263"/>
      <c r="P11" s="264"/>
      <c r="Q11" s="256"/>
    </row>
    <row r="12" spans="1:17" ht="12.75" customHeight="1" x14ac:dyDescent="0.35">
      <c r="A12" s="256"/>
      <c r="B12" s="262"/>
      <c r="C12" s="259" t="s">
        <v>240</v>
      </c>
      <c r="D12" s="263"/>
      <c r="E12" s="263"/>
      <c r="F12" s="263"/>
      <c r="G12" s="263"/>
      <c r="H12" s="263"/>
      <c r="I12" s="263"/>
      <c r="J12" s="263"/>
      <c r="K12" s="263"/>
      <c r="L12" s="263"/>
      <c r="M12" s="263"/>
      <c r="N12" s="263"/>
      <c r="O12" s="263"/>
      <c r="P12" s="264"/>
      <c r="Q12" s="256"/>
    </row>
    <row r="13" spans="1:17" ht="12.75" customHeight="1" x14ac:dyDescent="0.35">
      <c r="A13" s="256"/>
      <c r="B13" s="262"/>
      <c r="C13" s="265" t="s">
        <v>241</v>
      </c>
      <c r="D13" s="263"/>
      <c r="E13" s="263"/>
      <c r="F13" s="263"/>
      <c r="G13" s="263"/>
      <c r="H13" s="263"/>
      <c r="I13" s="263"/>
      <c r="J13" s="263"/>
      <c r="K13" s="263"/>
      <c r="L13" s="263"/>
      <c r="M13" s="263"/>
      <c r="N13" s="263"/>
      <c r="O13" s="263"/>
      <c r="P13" s="264"/>
      <c r="Q13" s="256"/>
    </row>
    <row r="14" spans="1:17" ht="12.75" customHeight="1" x14ac:dyDescent="0.35">
      <c r="A14" s="256"/>
      <c r="B14" s="262"/>
      <c r="C14" s="263"/>
      <c r="D14" s="263"/>
      <c r="E14" s="263"/>
      <c r="F14" s="263"/>
      <c r="G14" s="263"/>
      <c r="H14" s="263"/>
      <c r="I14" s="263"/>
      <c r="J14" s="263"/>
      <c r="K14" s="263"/>
      <c r="L14" s="263"/>
      <c r="M14" s="263"/>
      <c r="N14" s="263"/>
      <c r="O14" s="263"/>
      <c r="P14" s="264"/>
      <c r="Q14" s="256"/>
    </row>
    <row r="15" spans="1:17" ht="12.75" customHeight="1" x14ac:dyDescent="0.35">
      <c r="A15" s="256"/>
      <c r="B15" s="266"/>
      <c r="C15" s="265"/>
      <c r="D15" s="265"/>
      <c r="E15" s="267"/>
      <c r="F15" s="265" t="s">
        <v>393</v>
      </c>
      <c r="G15" s="263"/>
      <c r="H15" s="256"/>
      <c r="I15" s="256"/>
      <c r="J15" s="268" t="s">
        <v>242</v>
      </c>
      <c r="K15" s="265" t="s">
        <v>23</v>
      </c>
      <c r="L15" s="263"/>
      <c r="M15" s="263"/>
      <c r="N15" s="263"/>
      <c r="O15" s="263"/>
      <c r="P15" s="264"/>
      <c r="Q15" s="256"/>
    </row>
    <row r="16" spans="1:17" ht="12.75" customHeight="1" x14ac:dyDescent="0.35">
      <c r="A16" s="256"/>
      <c r="B16" s="266"/>
      <c r="C16" s="265"/>
      <c r="D16" s="265"/>
      <c r="E16" s="263"/>
      <c r="F16" s="265" t="s">
        <v>243</v>
      </c>
      <c r="G16" s="263"/>
      <c r="H16" s="256"/>
      <c r="I16" s="256"/>
      <c r="J16" s="268" t="s">
        <v>244</v>
      </c>
      <c r="K16" s="328" t="s">
        <v>21</v>
      </c>
      <c r="L16" s="263"/>
      <c r="M16" s="263"/>
      <c r="N16" s="263"/>
      <c r="O16" s="263"/>
      <c r="P16" s="264"/>
      <c r="Q16" s="256"/>
    </row>
    <row r="17" spans="1:17" ht="12.75" customHeight="1" x14ac:dyDescent="0.35">
      <c r="A17" s="256"/>
      <c r="B17" s="262"/>
      <c r="C17" s="263"/>
      <c r="D17" s="263"/>
      <c r="E17" s="263"/>
      <c r="F17" s="263"/>
      <c r="G17" s="263"/>
      <c r="H17" s="263"/>
      <c r="I17" s="263"/>
      <c r="J17" s="263"/>
      <c r="K17" s="263"/>
      <c r="L17" s="263"/>
      <c r="M17" s="263"/>
      <c r="N17" s="263"/>
      <c r="O17" s="263"/>
      <c r="P17" s="264"/>
      <c r="Q17" s="256"/>
    </row>
    <row r="18" spans="1:17" ht="12.75" customHeight="1" x14ac:dyDescent="0.35">
      <c r="A18" s="256"/>
      <c r="B18" s="269"/>
      <c r="C18" s="539" t="s">
        <v>245</v>
      </c>
      <c r="D18" s="539"/>
      <c r="E18" s="539"/>
      <c r="F18" s="539"/>
      <c r="G18" s="539"/>
      <c r="H18" s="539"/>
      <c r="I18" s="539"/>
      <c r="J18" s="539"/>
      <c r="K18" s="539"/>
      <c r="L18" s="539"/>
      <c r="M18" s="539"/>
      <c r="N18" s="539"/>
      <c r="O18" s="539"/>
      <c r="P18" s="546"/>
      <c r="Q18" s="256"/>
    </row>
    <row r="19" spans="1:17" ht="12.75" customHeight="1" x14ac:dyDescent="0.35">
      <c r="A19" s="256"/>
      <c r="B19" s="270"/>
      <c r="C19" s="271"/>
      <c r="D19" s="271"/>
      <c r="E19" s="271"/>
      <c r="F19" s="271"/>
      <c r="G19" s="271"/>
      <c r="H19" s="271"/>
      <c r="I19" s="271"/>
      <c r="J19" s="271"/>
      <c r="K19" s="271"/>
      <c r="L19" s="271"/>
      <c r="M19" s="271"/>
      <c r="N19" s="271"/>
      <c r="O19" s="271"/>
      <c r="P19" s="264"/>
      <c r="Q19" s="256"/>
    </row>
    <row r="20" spans="1:17" ht="85.75" customHeight="1" x14ac:dyDescent="0.35">
      <c r="A20" s="256"/>
      <c r="B20" s="266"/>
      <c r="C20" s="256">
        <v>0</v>
      </c>
      <c r="D20" s="265"/>
      <c r="E20" s="265" t="s">
        <v>246</v>
      </c>
      <c r="F20" s="271"/>
      <c r="G20" s="256"/>
      <c r="H20" s="256"/>
      <c r="I20" s="369" t="s">
        <v>247</v>
      </c>
      <c r="J20" s="256"/>
      <c r="K20" s="544" t="s">
        <v>248</v>
      </c>
      <c r="L20" s="544"/>
      <c r="M20" s="544"/>
      <c r="N20" s="544"/>
      <c r="O20" s="544"/>
      <c r="P20" s="264"/>
      <c r="Q20" s="256"/>
    </row>
    <row r="21" spans="1:17" ht="12.75" customHeight="1" x14ac:dyDescent="0.35">
      <c r="A21" s="256"/>
      <c r="B21" s="266"/>
      <c r="C21" s="268" t="s">
        <v>6</v>
      </c>
      <c r="D21" s="265"/>
      <c r="E21" s="265" t="s">
        <v>249</v>
      </c>
      <c r="F21" s="271"/>
      <c r="G21" s="256"/>
      <c r="H21" s="256"/>
      <c r="I21" s="256"/>
      <c r="J21" s="256"/>
      <c r="K21" s="544"/>
      <c r="L21" s="544"/>
      <c r="M21" s="544"/>
      <c r="N21" s="544"/>
      <c r="O21" s="544"/>
      <c r="P21" s="264"/>
      <c r="Q21" s="256"/>
    </row>
    <row r="22" spans="1:17" ht="12.75" customHeight="1" x14ac:dyDescent="0.35">
      <c r="A22" s="256"/>
      <c r="B22" s="270"/>
      <c r="C22" s="256"/>
      <c r="D22" s="271"/>
      <c r="E22" s="271"/>
      <c r="F22" s="271"/>
      <c r="G22" s="256"/>
      <c r="H22" s="256"/>
      <c r="I22" s="256"/>
      <c r="J22" s="256"/>
      <c r="K22" s="544"/>
      <c r="L22" s="544"/>
      <c r="M22" s="544"/>
      <c r="N22" s="544"/>
      <c r="O22" s="544"/>
      <c r="P22" s="264"/>
      <c r="Q22" s="256"/>
    </row>
    <row r="23" spans="1:17" ht="12.75" customHeight="1" x14ac:dyDescent="0.35">
      <c r="A23" s="256"/>
      <c r="B23" s="270"/>
      <c r="C23" s="256"/>
      <c r="D23" s="271"/>
      <c r="E23" s="271"/>
      <c r="F23" s="271"/>
      <c r="G23" s="256"/>
      <c r="H23" s="256"/>
      <c r="I23" s="256"/>
      <c r="J23" s="256"/>
      <c r="K23" s="368"/>
      <c r="L23" s="368"/>
      <c r="M23" s="368"/>
      <c r="N23" s="368"/>
      <c r="O23" s="368"/>
      <c r="P23" s="264"/>
      <c r="Q23" s="256"/>
    </row>
    <row r="24" spans="1:17" ht="12.75" customHeight="1" x14ac:dyDescent="0.35">
      <c r="A24" s="256"/>
      <c r="B24" s="269"/>
      <c r="C24" s="256" t="s">
        <v>250</v>
      </c>
      <c r="D24" s="256"/>
      <c r="E24" s="256"/>
      <c r="F24" s="256"/>
      <c r="G24" s="256"/>
      <c r="H24" s="256"/>
      <c r="I24" s="256"/>
      <c r="J24" s="256"/>
      <c r="K24" s="256"/>
      <c r="L24" s="256"/>
      <c r="M24" s="265"/>
      <c r="N24" s="265"/>
      <c r="O24" s="265"/>
      <c r="P24" s="264"/>
      <c r="Q24" s="256"/>
    </row>
    <row r="25" spans="1:17" ht="12.75" customHeight="1" x14ac:dyDescent="0.35">
      <c r="A25" s="256"/>
      <c r="B25" s="269"/>
      <c r="C25" s="256" t="s">
        <v>251</v>
      </c>
      <c r="D25" s="256"/>
      <c r="E25" s="256"/>
      <c r="F25" s="256"/>
      <c r="G25" s="256"/>
      <c r="H25" s="256"/>
      <c r="I25" s="256"/>
      <c r="J25" s="256"/>
      <c r="K25" s="256"/>
      <c r="L25" s="256"/>
      <c r="M25" s="265"/>
      <c r="N25" s="265"/>
      <c r="O25" s="265"/>
      <c r="P25" s="264"/>
      <c r="Q25" s="256"/>
    </row>
    <row r="26" spans="1:17" ht="10" x14ac:dyDescent="0.35">
      <c r="A26" s="256"/>
      <c r="B26" s="269"/>
      <c r="C26" s="256"/>
      <c r="D26" s="256"/>
      <c r="E26" s="257"/>
      <c r="F26" s="257"/>
      <c r="G26" s="257"/>
      <c r="H26" s="257"/>
      <c r="I26" s="257"/>
      <c r="J26" s="257"/>
      <c r="K26" s="257"/>
      <c r="L26" s="257"/>
      <c r="M26" s="272"/>
      <c r="N26" s="272"/>
      <c r="O26" s="272"/>
      <c r="P26" s="264"/>
      <c r="Q26" s="256"/>
    </row>
    <row r="27" spans="1:17" ht="12.75" customHeight="1" x14ac:dyDescent="0.35">
      <c r="A27" s="256"/>
      <c r="B27" s="269"/>
      <c r="C27" s="539" t="s">
        <v>252</v>
      </c>
      <c r="D27" s="539"/>
      <c r="E27" s="539"/>
      <c r="F27" s="539"/>
      <c r="G27" s="539"/>
      <c r="H27" s="539"/>
      <c r="I27" s="539"/>
      <c r="J27" s="539"/>
      <c r="K27" s="539"/>
      <c r="L27" s="539"/>
      <c r="M27" s="539"/>
      <c r="N27" s="539"/>
      <c r="O27" s="539"/>
      <c r="P27" s="273"/>
      <c r="Q27" s="256"/>
    </row>
    <row r="28" spans="1:17" ht="12.75" customHeight="1" thickBot="1" x14ac:dyDescent="0.4">
      <c r="A28" s="256"/>
      <c r="B28" s="274"/>
      <c r="C28" s="275"/>
      <c r="D28" s="275"/>
      <c r="E28" s="275"/>
      <c r="F28" s="275"/>
      <c r="G28" s="275"/>
      <c r="H28" s="275"/>
      <c r="I28" s="275"/>
      <c r="J28" s="275"/>
      <c r="K28" s="275"/>
      <c r="L28" s="275"/>
      <c r="M28" s="275"/>
      <c r="N28" s="275"/>
      <c r="O28" s="275"/>
      <c r="P28" s="276"/>
      <c r="Q28" s="256"/>
    </row>
    <row r="29" spans="1:17" ht="12.75" customHeight="1" thickBot="1" x14ac:dyDescent="0.4">
      <c r="A29" s="256"/>
      <c r="B29" s="256"/>
      <c r="C29" s="277"/>
      <c r="D29" s="256"/>
      <c r="E29" s="256"/>
      <c r="F29" s="256"/>
      <c r="G29" s="256"/>
      <c r="H29" s="256"/>
      <c r="I29" s="256"/>
      <c r="J29" s="256"/>
      <c r="K29" s="256"/>
      <c r="L29" s="256"/>
      <c r="M29" s="256"/>
      <c r="N29" s="256"/>
      <c r="O29" s="256"/>
      <c r="P29" s="256"/>
      <c r="Q29" s="256"/>
    </row>
    <row r="30" spans="1:17" ht="12.75" customHeight="1" thickBot="1" x14ac:dyDescent="0.4">
      <c r="A30" s="258"/>
      <c r="B30" s="536" t="s">
        <v>253</v>
      </c>
      <c r="C30" s="537"/>
      <c r="D30" s="537"/>
      <c r="E30" s="537"/>
      <c r="F30" s="537"/>
      <c r="G30" s="537"/>
      <c r="H30" s="537"/>
      <c r="I30" s="537"/>
      <c r="J30" s="537"/>
      <c r="K30" s="537"/>
      <c r="L30" s="537"/>
      <c r="M30" s="537"/>
      <c r="N30" s="537"/>
      <c r="O30" s="537"/>
      <c r="P30" s="538"/>
      <c r="Q30" s="258"/>
    </row>
    <row r="31" spans="1:17" s="242" customFormat="1" ht="15.75" customHeight="1" x14ac:dyDescent="0.35">
      <c r="A31" s="261"/>
      <c r="B31" s="278"/>
      <c r="C31" s="279"/>
      <c r="D31" s="280"/>
      <c r="E31" s="280"/>
      <c r="F31" s="280"/>
      <c r="G31" s="280"/>
      <c r="H31" s="280"/>
      <c r="I31" s="280"/>
      <c r="J31" s="280"/>
      <c r="K31" s="280"/>
      <c r="L31" s="280"/>
      <c r="M31" s="280"/>
      <c r="N31" s="280"/>
      <c r="O31" s="280"/>
      <c r="P31" s="281"/>
      <c r="Q31" s="261"/>
    </row>
    <row r="32" spans="1:17" s="94" customFormat="1" ht="15.75" customHeight="1" x14ac:dyDescent="0.35">
      <c r="A32" s="256"/>
      <c r="B32" s="269"/>
      <c r="C32" s="265" t="s">
        <v>254</v>
      </c>
      <c r="D32" s="256"/>
      <c r="E32" s="256"/>
      <c r="F32" s="256"/>
      <c r="G32" s="256"/>
      <c r="H32" s="256"/>
      <c r="I32" s="256"/>
      <c r="J32" s="256"/>
      <c r="K32" s="256"/>
      <c r="L32" s="256"/>
      <c r="M32" s="256"/>
      <c r="N32" s="256"/>
      <c r="O32" s="256"/>
      <c r="P32" s="264"/>
      <c r="Q32" s="256"/>
    </row>
    <row r="33" spans="1:17" ht="12.75" customHeight="1" x14ac:dyDescent="0.35">
      <c r="A33" s="256"/>
      <c r="B33" s="269"/>
      <c r="C33" s="282"/>
      <c r="D33" s="256"/>
      <c r="E33" s="256"/>
      <c r="F33" s="256"/>
      <c r="G33" s="256"/>
      <c r="H33" s="256"/>
      <c r="I33" s="256"/>
      <c r="J33" s="256"/>
      <c r="K33" s="256"/>
      <c r="L33" s="256"/>
      <c r="M33" s="256"/>
      <c r="N33" s="256"/>
      <c r="O33" s="256"/>
      <c r="P33" s="264"/>
      <c r="Q33" s="256"/>
    </row>
    <row r="34" spans="1:17" ht="12.75" customHeight="1" x14ac:dyDescent="0.35">
      <c r="A34" s="342"/>
      <c r="B34" s="283"/>
      <c r="C34" s="284" t="str">
        <f>CONCATENATE(Questionnaire!B15," to ",Questionnaire!B29)</f>
        <v>1 to 15</v>
      </c>
      <c r="D34" s="285" t="s">
        <v>255</v>
      </c>
      <c r="E34" s="256"/>
      <c r="F34" s="256"/>
      <c r="G34" s="256"/>
      <c r="H34" s="256"/>
      <c r="I34" s="256"/>
      <c r="J34" s="256"/>
      <c r="K34" s="256"/>
      <c r="L34" s="256"/>
      <c r="M34" s="256"/>
      <c r="N34" s="256"/>
      <c r="O34" s="256"/>
      <c r="P34" s="264"/>
      <c r="Q34" s="256"/>
    </row>
    <row r="35" spans="1:17" ht="12.75" customHeight="1" x14ac:dyDescent="0.35">
      <c r="A35" s="342"/>
      <c r="B35" s="283"/>
      <c r="C35" s="284"/>
      <c r="D35" s="285"/>
      <c r="E35" s="256"/>
      <c r="F35" s="256"/>
      <c r="G35" s="256"/>
      <c r="H35" s="256"/>
      <c r="I35" s="256"/>
      <c r="J35" s="256"/>
      <c r="K35" s="256"/>
      <c r="L35" s="256"/>
      <c r="M35" s="256"/>
      <c r="N35" s="256"/>
      <c r="O35" s="256"/>
      <c r="P35" s="264"/>
      <c r="Q35" s="256"/>
    </row>
    <row r="36" spans="1:17" ht="12.75" customHeight="1" x14ac:dyDescent="0.35">
      <c r="A36" s="342"/>
      <c r="B36" s="269"/>
      <c r="C36" s="284"/>
      <c r="D36" s="532" t="s">
        <v>256</v>
      </c>
      <c r="E36" s="532"/>
      <c r="F36" s="532"/>
      <c r="G36" s="532"/>
      <c r="H36" s="532"/>
      <c r="I36" s="532"/>
      <c r="J36" s="532"/>
      <c r="K36" s="532"/>
      <c r="L36" s="532"/>
      <c r="M36" s="532"/>
      <c r="N36" s="532"/>
      <c r="O36" s="532"/>
      <c r="P36" s="264"/>
      <c r="Q36" s="256"/>
    </row>
    <row r="37" spans="1:17" ht="12.75" customHeight="1" x14ac:dyDescent="0.35">
      <c r="A37" s="342"/>
      <c r="B37" s="269"/>
      <c r="C37" s="284"/>
      <c r="D37" s="532"/>
      <c r="E37" s="532"/>
      <c r="F37" s="532"/>
      <c r="G37" s="532"/>
      <c r="H37" s="532"/>
      <c r="I37" s="532"/>
      <c r="J37" s="532"/>
      <c r="K37" s="532"/>
      <c r="L37" s="532"/>
      <c r="M37" s="532"/>
      <c r="N37" s="532"/>
      <c r="O37" s="532"/>
      <c r="P37" s="264"/>
      <c r="Q37" s="256"/>
    </row>
    <row r="38" spans="1:17" ht="12.75" customHeight="1" x14ac:dyDescent="0.35">
      <c r="A38" s="342"/>
      <c r="B38" s="269"/>
      <c r="C38" s="284"/>
      <c r="D38" s="256"/>
      <c r="E38" s="256"/>
      <c r="F38" s="256"/>
      <c r="G38" s="256"/>
      <c r="H38" s="256"/>
      <c r="I38" s="256"/>
      <c r="J38" s="256"/>
      <c r="K38" s="256"/>
      <c r="L38" s="256"/>
      <c r="M38" s="256"/>
      <c r="N38" s="256"/>
      <c r="O38" s="256"/>
      <c r="P38" s="264"/>
      <c r="Q38" s="256"/>
    </row>
    <row r="39" spans="1:17" ht="12.75" customHeight="1" x14ac:dyDescent="0.35">
      <c r="A39" s="342"/>
      <c r="B39" s="269"/>
      <c r="C39" s="284"/>
      <c r="D39" s="256" t="s">
        <v>257</v>
      </c>
      <c r="E39" s="256"/>
      <c r="F39" s="256"/>
      <c r="G39" s="256"/>
      <c r="H39" s="256"/>
      <c r="I39" s="256"/>
      <c r="J39" s="256"/>
      <c r="K39" s="256"/>
      <c r="L39" s="256"/>
      <c r="M39" s="256"/>
      <c r="N39" s="256"/>
      <c r="O39" s="256"/>
      <c r="P39" s="264"/>
      <c r="Q39" s="256"/>
    </row>
    <row r="40" spans="1:17" ht="12.75" customHeight="1" x14ac:dyDescent="0.35">
      <c r="A40" s="342"/>
      <c r="B40" s="269"/>
      <c r="C40" s="284"/>
      <c r="D40" s="256"/>
      <c r="E40" s="256"/>
      <c r="F40" s="256"/>
      <c r="G40" s="256"/>
      <c r="H40" s="256"/>
      <c r="I40" s="256"/>
      <c r="J40" s="256"/>
      <c r="K40" s="256"/>
      <c r="L40" s="256"/>
      <c r="M40" s="256"/>
      <c r="N40" s="256"/>
      <c r="O40" s="256"/>
      <c r="P40" s="264"/>
      <c r="Q40" s="256"/>
    </row>
    <row r="41" spans="1:17" ht="12.75" customHeight="1" x14ac:dyDescent="0.35">
      <c r="A41" s="342"/>
      <c r="B41" s="287"/>
      <c r="C41" s="284"/>
      <c r="D41" s="288" t="s">
        <v>258</v>
      </c>
      <c r="E41" s="256"/>
      <c r="F41" s="256"/>
      <c r="G41" s="256"/>
      <c r="H41" s="256"/>
      <c r="I41" s="256"/>
      <c r="J41" s="256"/>
      <c r="K41" s="256"/>
      <c r="L41" s="256"/>
      <c r="M41" s="256"/>
      <c r="N41" s="256"/>
      <c r="O41" s="256"/>
      <c r="P41" s="264"/>
      <c r="Q41" s="256"/>
    </row>
    <row r="42" spans="1:17" ht="12.75" customHeight="1" x14ac:dyDescent="0.35">
      <c r="A42" s="342"/>
      <c r="B42" s="269"/>
      <c r="C42" s="284"/>
      <c r="D42" s="533" t="s">
        <v>259</v>
      </c>
      <c r="E42" s="533"/>
      <c r="F42" s="533"/>
      <c r="G42" s="533"/>
      <c r="H42" s="533"/>
      <c r="I42" s="533"/>
      <c r="J42" s="533"/>
      <c r="K42" s="533"/>
      <c r="L42" s="533"/>
      <c r="M42" s="533"/>
      <c r="N42" s="533"/>
      <c r="O42" s="533"/>
      <c r="P42" s="264"/>
      <c r="Q42" s="256"/>
    </row>
    <row r="43" spans="1:17" ht="12.75" customHeight="1" x14ac:dyDescent="0.35">
      <c r="A43" s="342"/>
      <c r="B43" s="269"/>
      <c r="C43" s="284"/>
      <c r="D43" s="533"/>
      <c r="E43" s="533"/>
      <c r="F43" s="533"/>
      <c r="G43" s="533"/>
      <c r="H43" s="533"/>
      <c r="I43" s="533"/>
      <c r="J43" s="533"/>
      <c r="K43" s="533"/>
      <c r="L43" s="533"/>
      <c r="M43" s="533"/>
      <c r="N43" s="533"/>
      <c r="O43" s="533"/>
      <c r="P43" s="264"/>
      <c r="Q43" s="256"/>
    </row>
    <row r="44" spans="1:17" ht="12.75" customHeight="1" x14ac:dyDescent="0.35">
      <c r="A44" s="342"/>
      <c r="B44" s="269"/>
      <c r="C44" s="284"/>
      <c r="D44" s="533"/>
      <c r="E44" s="533"/>
      <c r="F44" s="533"/>
      <c r="G44" s="533"/>
      <c r="H44" s="533"/>
      <c r="I44" s="533"/>
      <c r="J44" s="533"/>
      <c r="K44" s="533"/>
      <c r="L44" s="533"/>
      <c r="M44" s="533"/>
      <c r="N44" s="533"/>
      <c r="O44" s="533"/>
      <c r="P44" s="264"/>
      <c r="Q44" s="256"/>
    </row>
    <row r="45" spans="1:17" ht="12.75" customHeight="1" x14ac:dyDescent="0.35">
      <c r="A45" s="342"/>
      <c r="B45" s="287"/>
      <c r="C45" s="284"/>
      <c r="D45" s="288" t="s">
        <v>260</v>
      </c>
      <c r="E45" s="256"/>
      <c r="F45" s="256"/>
      <c r="G45" s="256"/>
      <c r="H45" s="256"/>
      <c r="I45" s="256"/>
      <c r="J45" s="256"/>
      <c r="K45" s="256"/>
      <c r="L45" s="256"/>
      <c r="M45" s="256"/>
      <c r="N45" s="256"/>
      <c r="O45" s="256"/>
      <c r="P45" s="264"/>
      <c r="Q45" s="256"/>
    </row>
    <row r="46" spans="1:17" ht="12.75" customHeight="1" x14ac:dyDescent="0.35">
      <c r="A46" s="342"/>
      <c r="B46" s="269"/>
      <c r="C46" s="284"/>
      <c r="D46" s="532" t="s">
        <v>261</v>
      </c>
      <c r="E46" s="532"/>
      <c r="F46" s="532"/>
      <c r="G46" s="532"/>
      <c r="H46" s="532"/>
      <c r="I46" s="532"/>
      <c r="J46" s="532"/>
      <c r="K46" s="532"/>
      <c r="L46" s="532"/>
      <c r="M46" s="532"/>
      <c r="N46" s="532"/>
      <c r="O46" s="532"/>
      <c r="P46" s="264"/>
      <c r="Q46" s="256"/>
    </row>
    <row r="47" spans="1:17" ht="12.75" customHeight="1" x14ac:dyDescent="0.35">
      <c r="A47" s="342"/>
      <c r="B47" s="269"/>
      <c r="C47" s="284"/>
      <c r="D47" s="532"/>
      <c r="E47" s="532"/>
      <c r="F47" s="532"/>
      <c r="G47" s="532"/>
      <c r="H47" s="532"/>
      <c r="I47" s="532"/>
      <c r="J47" s="532"/>
      <c r="K47" s="532"/>
      <c r="L47" s="532"/>
      <c r="M47" s="532"/>
      <c r="N47" s="532"/>
      <c r="O47" s="532"/>
      <c r="P47" s="264"/>
      <c r="Q47" s="256"/>
    </row>
    <row r="48" spans="1:17" ht="12.75" customHeight="1" x14ac:dyDescent="0.35">
      <c r="A48" s="342"/>
      <c r="B48" s="269"/>
      <c r="C48" s="343"/>
      <c r="D48" s="532"/>
      <c r="E48" s="532"/>
      <c r="F48" s="532"/>
      <c r="G48" s="532"/>
      <c r="H48" s="532"/>
      <c r="I48" s="532"/>
      <c r="J48" s="532"/>
      <c r="K48" s="532"/>
      <c r="L48" s="532"/>
      <c r="M48" s="532"/>
      <c r="N48" s="532"/>
      <c r="O48" s="532"/>
      <c r="P48" s="264"/>
      <c r="Q48" s="256"/>
    </row>
    <row r="49" spans="1:17" ht="12.75" customHeight="1" x14ac:dyDescent="0.35">
      <c r="A49" s="342"/>
      <c r="B49" s="269"/>
      <c r="C49" s="284"/>
      <c r="D49" s="532"/>
      <c r="E49" s="532"/>
      <c r="F49" s="532"/>
      <c r="G49" s="532"/>
      <c r="H49" s="532"/>
      <c r="I49" s="532"/>
      <c r="J49" s="532"/>
      <c r="K49" s="532"/>
      <c r="L49" s="532"/>
      <c r="M49" s="532"/>
      <c r="N49" s="532"/>
      <c r="O49" s="532"/>
      <c r="P49" s="264"/>
      <c r="Q49" s="256"/>
    </row>
    <row r="50" spans="1:17" ht="12.75" customHeight="1" x14ac:dyDescent="0.35">
      <c r="A50" s="342"/>
      <c r="B50" s="269"/>
      <c r="C50" s="284"/>
      <c r="D50" s="532"/>
      <c r="E50" s="532"/>
      <c r="F50" s="532"/>
      <c r="G50" s="532"/>
      <c r="H50" s="532"/>
      <c r="I50" s="532"/>
      <c r="J50" s="532"/>
      <c r="K50" s="532"/>
      <c r="L50" s="532"/>
      <c r="M50" s="532"/>
      <c r="N50" s="532"/>
      <c r="O50" s="532"/>
      <c r="P50" s="264"/>
      <c r="Q50" s="256"/>
    </row>
    <row r="51" spans="1:17" ht="12.75" customHeight="1" x14ac:dyDescent="0.35">
      <c r="A51" s="342"/>
      <c r="B51" s="269"/>
      <c r="C51" s="284"/>
      <c r="D51" s="532"/>
      <c r="E51" s="532"/>
      <c r="F51" s="532"/>
      <c r="G51" s="532"/>
      <c r="H51" s="532"/>
      <c r="I51" s="532"/>
      <c r="J51" s="532"/>
      <c r="K51" s="532"/>
      <c r="L51" s="532"/>
      <c r="M51" s="532"/>
      <c r="N51" s="532"/>
      <c r="O51" s="532"/>
      <c r="P51" s="264"/>
      <c r="Q51" s="256"/>
    </row>
    <row r="52" spans="1:17" ht="12.75" customHeight="1" thickBot="1" x14ac:dyDescent="0.4">
      <c r="A52" s="342"/>
      <c r="B52" s="289"/>
      <c r="C52" s="290"/>
      <c r="D52" s="291"/>
      <c r="E52" s="291"/>
      <c r="F52" s="291"/>
      <c r="G52" s="291"/>
      <c r="H52" s="291"/>
      <c r="I52" s="291"/>
      <c r="J52" s="291"/>
      <c r="K52" s="291"/>
      <c r="L52" s="291"/>
      <c r="M52" s="291"/>
      <c r="N52" s="291"/>
      <c r="O52" s="291"/>
      <c r="P52" s="292"/>
      <c r="Q52" s="256"/>
    </row>
    <row r="53" spans="1:17" ht="5.25" customHeight="1" x14ac:dyDescent="0.35">
      <c r="A53" s="342"/>
      <c r="B53" s="293"/>
      <c r="C53" s="294"/>
      <c r="D53" s="295"/>
      <c r="E53" s="295"/>
      <c r="F53" s="295"/>
      <c r="G53" s="295"/>
      <c r="H53" s="295"/>
      <c r="I53" s="295"/>
      <c r="J53" s="295"/>
      <c r="K53" s="295"/>
      <c r="L53" s="295"/>
      <c r="M53" s="295"/>
      <c r="N53" s="295"/>
      <c r="O53" s="295"/>
      <c r="P53" s="296"/>
      <c r="Q53" s="256"/>
    </row>
    <row r="54" spans="1:17" ht="6.75" customHeight="1" x14ac:dyDescent="0.35">
      <c r="A54" s="342"/>
      <c r="B54" s="287"/>
      <c r="C54" s="284" t="str">
        <f>CONCATENATE(Questionnaire!B15," to ",Questionnaire!B29)</f>
        <v>1 to 15</v>
      </c>
      <c r="D54" s="288" t="s">
        <v>262</v>
      </c>
      <c r="E54" s="256"/>
      <c r="F54" s="256"/>
      <c r="G54" s="256"/>
      <c r="H54" s="256"/>
      <c r="I54" s="256"/>
      <c r="J54" s="256"/>
      <c r="K54" s="256"/>
      <c r="L54" s="256"/>
      <c r="M54" s="256"/>
      <c r="N54" s="256"/>
      <c r="O54" s="256"/>
      <c r="P54" s="264"/>
      <c r="Q54" s="256"/>
    </row>
    <row r="55" spans="1:17" ht="12.75" customHeight="1" x14ac:dyDescent="0.35">
      <c r="A55" s="342"/>
      <c r="B55" s="269"/>
      <c r="C55" s="284" t="s">
        <v>263</v>
      </c>
      <c r="D55" s="533" t="s">
        <v>264</v>
      </c>
      <c r="E55" s="533"/>
      <c r="F55" s="533"/>
      <c r="G55" s="533"/>
      <c r="H55" s="533"/>
      <c r="I55" s="533"/>
      <c r="J55" s="533"/>
      <c r="K55" s="533"/>
      <c r="L55" s="533"/>
      <c r="M55" s="533"/>
      <c r="N55" s="533"/>
      <c r="O55" s="533"/>
      <c r="P55" s="264"/>
      <c r="Q55" s="256"/>
    </row>
    <row r="56" spans="1:17" ht="12.75" customHeight="1" x14ac:dyDescent="0.35">
      <c r="A56" s="342"/>
      <c r="B56" s="269"/>
      <c r="C56" s="284"/>
      <c r="D56" s="533"/>
      <c r="E56" s="533"/>
      <c r="F56" s="533"/>
      <c r="G56" s="533"/>
      <c r="H56" s="533"/>
      <c r="I56" s="533"/>
      <c r="J56" s="533"/>
      <c r="K56" s="533"/>
      <c r="L56" s="533"/>
      <c r="M56" s="533"/>
      <c r="N56" s="533"/>
      <c r="O56" s="533"/>
      <c r="P56" s="264"/>
      <c r="Q56" s="256"/>
    </row>
    <row r="57" spans="1:17" ht="12.75" customHeight="1" x14ac:dyDescent="0.35">
      <c r="A57" s="342"/>
      <c r="B57" s="269"/>
      <c r="C57" s="284"/>
      <c r="D57" s="533"/>
      <c r="E57" s="533"/>
      <c r="F57" s="533"/>
      <c r="G57" s="533"/>
      <c r="H57" s="533"/>
      <c r="I57" s="533"/>
      <c r="J57" s="533"/>
      <c r="K57" s="533"/>
      <c r="L57" s="533"/>
      <c r="M57" s="533"/>
      <c r="N57" s="533"/>
      <c r="O57" s="533"/>
      <c r="P57" s="264"/>
      <c r="Q57" s="256"/>
    </row>
    <row r="58" spans="1:17" ht="12.75" customHeight="1" x14ac:dyDescent="0.35">
      <c r="A58" s="342"/>
      <c r="B58" s="269"/>
      <c r="C58" s="284"/>
      <c r="D58" s="541" t="s">
        <v>265</v>
      </c>
      <c r="E58" s="541"/>
      <c r="F58" s="541"/>
      <c r="G58" s="541"/>
      <c r="H58" s="541"/>
      <c r="I58" s="541"/>
      <c r="J58" s="541"/>
      <c r="K58" s="541"/>
      <c r="L58" s="541"/>
      <c r="M58" s="541"/>
      <c r="N58" s="541"/>
      <c r="O58" s="541"/>
      <c r="P58" s="264"/>
      <c r="Q58" s="256"/>
    </row>
    <row r="59" spans="1:17" ht="21.75" customHeight="1" x14ac:dyDescent="0.35">
      <c r="A59" s="342"/>
      <c r="B59" s="269"/>
      <c r="C59" s="284"/>
      <c r="D59" s="542" t="s">
        <v>266</v>
      </c>
      <c r="E59" s="542"/>
      <c r="F59" s="542"/>
      <c r="G59" s="542"/>
      <c r="H59" s="542"/>
      <c r="I59" s="542"/>
      <c r="J59" s="542"/>
      <c r="K59" s="542"/>
      <c r="L59" s="542"/>
      <c r="M59" s="542"/>
      <c r="N59" s="542"/>
      <c r="O59" s="542"/>
      <c r="P59" s="264"/>
      <c r="Q59" s="256"/>
    </row>
    <row r="60" spans="1:17" ht="12.75" customHeight="1" x14ac:dyDescent="0.35">
      <c r="A60" s="342"/>
      <c r="B60" s="269"/>
      <c r="C60" s="284"/>
      <c r="D60" s="542"/>
      <c r="E60" s="542"/>
      <c r="F60" s="542"/>
      <c r="G60" s="542"/>
      <c r="H60" s="542"/>
      <c r="I60" s="542"/>
      <c r="J60" s="542"/>
      <c r="K60" s="542"/>
      <c r="L60" s="542"/>
      <c r="M60" s="542"/>
      <c r="N60" s="542"/>
      <c r="O60" s="542"/>
      <c r="P60" s="264"/>
      <c r="Q60" s="256"/>
    </row>
    <row r="61" spans="1:17" ht="12.75" customHeight="1" x14ac:dyDescent="0.35">
      <c r="A61" s="342"/>
      <c r="B61" s="269"/>
      <c r="C61" s="284"/>
      <c r="D61" s="542"/>
      <c r="E61" s="542"/>
      <c r="F61" s="542"/>
      <c r="G61" s="542"/>
      <c r="H61" s="542"/>
      <c r="I61" s="542"/>
      <c r="J61" s="542"/>
      <c r="K61" s="542"/>
      <c r="L61" s="542"/>
      <c r="M61" s="542"/>
      <c r="N61" s="542"/>
      <c r="O61" s="542"/>
      <c r="P61" s="264"/>
      <c r="Q61" s="256"/>
    </row>
    <row r="62" spans="1:17" ht="12.75" customHeight="1" x14ac:dyDescent="0.35">
      <c r="A62" s="342"/>
      <c r="B62" s="269"/>
      <c r="C62" s="284"/>
      <c r="D62" s="541" t="s">
        <v>267</v>
      </c>
      <c r="E62" s="541"/>
      <c r="F62" s="541"/>
      <c r="G62" s="541"/>
      <c r="H62" s="541"/>
      <c r="I62" s="541"/>
      <c r="J62" s="541"/>
      <c r="K62" s="541"/>
      <c r="L62" s="541"/>
      <c r="M62" s="541"/>
      <c r="N62" s="541"/>
      <c r="O62" s="541"/>
      <c r="P62" s="264"/>
      <c r="Q62" s="256"/>
    </row>
    <row r="63" spans="1:17" ht="12.75" customHeight="1" x14ac:dyDescent="0.35">
      <c r="A63" s="342"/>
      <c r="B63" s="269"/>
      <c r="C63" s="284"/>
      <c r="D63" s="541"/>
      <c r="E63" s="541"/>
      <c r="F63" s="541"/>
      <c r="G63" s="541"/>
      <c r="H63" s="541"/>
      <c r="I63" s="541"/>
      <c r="J63" s="541"/>
      <c r="K63" s="541"/>
      <c r="L63" s="541"/>
      <c r="M63" s="541"/>
      <c r="N63" s="541"/>
      <c r="O63" s="541"/>
      <c r="P63" s="264"/>
      <c r="Q63" s="256"/>
    </row>
    <row r="64" spans="1:17" ht="12.75" customHeight="1" x14ac:dyDescent="0.35">
      <c r="A64" s="342"/>
      <c r="B64" s="269"/>
      <c r="C64" s="284"/>
      <c r="D64" s="541"/>
      <c r="E64" s="541"/>
      <c r="F64" s="541"/>
      <c r="G64" s="541"/>
      <c r="H64" s="541"/>
      <c r="I64" s="541"/>
      <c r="J64" s="541"/>
      <c r="K64" s="541"/>
      <c r="L64" s="541"/>
      <c r="M64" s="541"/>
      <c r="N64" s="541"/>
      <c r="O64" s="541"/>
      <c r="P64" s="264"/>
      <c r="Q64" s="256"/>
    </row>
    <row r="65" spans="1:17" ht="12.75" customHeight="1" x14ac:dyDescent="0.35">
      <c r="A65" s="342"/>
      <c r="B65" s="269"/>
      <c r="C65" s="284"/>
      <c r="D65" s="541" t="s">
        <v>268</v>
      </c>
      <c r="E65" s="541"/>
      <c r="F65" s="541"/>
      <c r="G65" s="541"/>
      <c r="H65" s="541"/>
      <c r="I65" s="541"/>
      <c r="J65" s="541"/>
      <c r="K65" s="541"/>
      <c r="L65" s="541"/>
      <c r="M65" s="541"/>
      <c r="N65" s="541"/>
      <c r="O65" s="541"/>
      <c r="P65" s="264"/>
      <c r="Q65" s="256"/>
    </row>
    <row r="66" spans="1:17" ht="12.75" customHeight="1" x14ac:dyDescent="0.35">
      <c r="A66" s="342"/>
      <c r="B66" s="269"/>
      <c r="C66" s="284"/>
      <c r="D66" s="541"/>
      <c r="E66" s="541"/>
      <c r="F66" s="541"/>
      <c r="G66" s="541"/>
      <c r="H66" s="541"/>
      <c r="I66" s="541"/>
      <c r="J66" s="541"/>
      <c r="K66" s="541"/>
      <c r="L66" s="541"/>
      <c r="M66" s="541"/>
      <c r="N66" s="541"/>
      <c r="O66" s="541"/>
      <c r="P66" s="264"/>
      <c r="Q66" s="256"/>
    </row>
    <row r="67" spans="1:17" ht="12.75" customHeight="1" x14ac:dyDescent="0.35">
      <c r="A67" s="342"/>
      <c r="B67" s="287"/>
      <c r="C67" s="284"/>
      <c r="D67" s="288" t="s">
        <v>269</v>
      </c>
      <c r="E67" s="299"/>
      <c r="F67" s="299"/>
      <c r="G67" s="299"/>
      <c r="H67" s="299"/>
      <c r="I67" s="299"/>
      <c r="J67" s="299"/>
      <c r="K67" s="299"/>
      <c r="L67" s="299"/>
      <c r="M67" s="299"/>
      <c r="N67" s="299"/>
      <c r="O67" s="299"/>
      <c r="P67" s="264"/>
      <c r="Q67" s="256"/>
    </row>
    <row r="68" spans="1:17" ht="12.75" customHeight="1" x14ac:dyDescent="0.35">
      <c r="A68" s="342"/>
      <c r="B68" s="269"/>
      <c r="C68" s="284"/>
      <c r="D68" s="300" t="s">
        <v>270</v>
      </c>
      <c r="E68" s="301"/>
      <c r="F68" s="301"/>
      <c r="G68" s="301"/>
      <c r="H68" s="301"/>
      <c r="I68" s="301"/>
      <c r="J68" s="301"/>
      <c r="K68" s="301"/>
      <c r="L68" s="301"/>
      <c r="M68" s="301"/>
      <c r="N68" s="301"/>
      <c r="O68" s="301"/>
      <c r="P68" s="264"/>
      <c r="Q68" s="256"/>
    </row>
    <row r="69" spans="1:17" ht="12.75" customHeight="1" x14ac:dyDescent="0.35">
      <c r="A69" s="342"/>
      <c r="B69" s="266"/>
      <c r="C69" s="284"/>
      <c r="D69" s="265"/>
      <c r="E69" s="265"/>
      <c r="F69" s="265"/>
      <c r="G69" s="265"/>
      <c r="H69" s="265"/>
      <c r="I69" s="265"/>
      <c r="J69" s="265"/>
      <c r="K69" s="265"/>
      <c r="L69" s="265"/>
      <c r="M69" s="265"/>
      <c r="N69" s="265"/>
      <c r="O69" s="265"/>
      <c r="P69" s="264"/>
      <c r="Q69" s="256"/>
    </row>
    <row r="70" spans="1:17" ht="12.75" customHeight="1" x14ac:dyDescent="0.35">
      <c r="A70" s="342"/>
      <c r="B70" s="287"/>
      <c r="C70" s="284" t="str">
        <f>CONCATENATE(Questionnaire!B40," &amp; ",Questionnaire!B41)</f>
        <v>18 &amp; 19</v>
      </c>
      <c r="D70" s="288" t="e">
        <f>CONCATENATE("Libraries permanently closed and opened during ",Year,"-",Year-1999)</f>
        <v>#REF!</v>
      </c>
      <c r="E70" s="256"/>
      <c r="F70" s="256"/>
      <c r="G70" s="256"/>
      <c r="H70" s="256"/>
      <c r="I70" s="256"/>
      <c r="J70" s="256"/>
      <c r="K70" s="256"/>
      <c r="L70" s="256"/>
      <c r="M70" s="256"/>
      <c r="N70" s="256"/>
      <c r="O70" s="256"/>
      <c r="P70" s="264"/>
      <c r="Q70" s="256"/>
    </row>
    <row r="71" spans="1:17" ht="12.75" customHeight="1" x14ac:dyDescent="0.35">
      <c r="A71" s="342"/>
      <c r="B71" s="269"/>
      <c r="C71" s="284"/>
      <c r="D71" s="256" t="s">
        <v>271</v>
      </c>
      <c r="E71" s="256"/>
      <c r="F71" s="256"/>
      <c r="G71" s="256"/>
      <c r="H71" s="256"/>
      <c r="I71" s="256"/>
      <c r="J71" s="256"/>
      <c r="K71" s="256"/>
      <c r="L71" s="256"/>
      <c r="M71" s="256"/>
      <c r="N71" s="256"/>
      <c r="O71" s="256"/>
      <c r="P71" s="264"/>
      <c r="Q71" s="256"/>
    </row>
    <row r="72" spans="1:17" ht="12.75" customHeight="1" x14ac:dyDescent="0.35">
      <c r="A72" s="342"/>
      <c r="B72" s="269"/>
      <c r="C72" s="284"/>
      <c r="D72" s="364"/>
      <c r="E72" s="364"/>
      <c r="F72" s="364"/>
      <c r="G72" s="364"/>
      <c r="H72" s="364"/>
      <c r="I72" s="364"/>
      <c r="J72" s="364"/>
      <c r="K72" s="364"/>
      <c r="L72" s="364"/>
      <c r="M72" s="364"/>
      <c r="N72" s="364"/>
      <c r="O72" s="364"/>
      <c r="P72" s="264"/>
      <c r="Q72" s="256"/>
    </row>
    <row r="73" spans="1:17" ht="12.75" customHeight="1" x14ac:dyDescent="0.35">
      <c r="A73" s="342"/>
      <c r="B73" s="269"/>
      <c r="C73" s="284">
        <f>Questionnaire!B40</f>
        <v>18</v>
      </c>
      <c r="D73" s="288" t="e">
        <f>CONCATENATE("Libraries permanently closed during ",Year,"-",Year-1999)</f>
        <v>#REF!</v>
      </c>
      <c r="E73" s="256"/>
      <c r="F73" s="256"/>
      <c r="G73" s="256"/>
      <c r="H73" s="256"/>
      <c r="I73" s="256"/>
      <c r="J73" s="256"/>
      <c r="K73" s="256"/>
      <c r="L73" s="256"/>
      <c r="M73" s="256"/>
      <c r="N73" s="256"/>
      <c r="O73" s="256"/>
      <c r="P73" s="264"/>
      <c r="Q73" s="256"/>
    </row>
    <row r="74" spans="1:17" ht="12.75" customHeight="1" x14ac:dyDescent="0.35">
      <c r="A74" s="342"/>
      <c r="B74" s="269"/>
      <c r="C74" s="284"/>
      <c r="D74" s="256" t="s">
        <v>272</v>
      </c>
      <c r="E74" s="256"/>
      <c r="F74" s="256"/>
      <c r="G74" s="256"/>
      <c r="H74" s="256"/>
      <c r="I74" s="256"/>
      <c r="J74" s="256"/>
      <c r="K74" s="256"/>
      <c r="L74" s="256"/>
      <c r="M74" s="256"/>
      <c r="N74" s="256"/>
      <c r="O74" s="256"/>
      <c r="P74" s="264"/>
      <c r="Q74" s="256"/>
    </row>
    <row r="75" spans="1:17" ht="12.75" customHeight="1" x14ac:dyDescent="0.35">
      <c r="A75" s="342"/>
      <c r="B75" s="269"/>
      <c r="C75" s="284"/>
      <c r="D75" s="256" t="s">
        <v>273</v>
      </c>
      <c r="E75" s="256"/>
      <c r="F75" s="256"/>
      <c r="G75" s="256"/>
      <c r="H75" s="256"/>
      <c r="I75" s="256"/>
      <c r="J75" s="256"/>
      <c r="K75" s="256"/>
      <c r="L75" s="256"/>
      <c r="M75" s="256"/>
      <c r="N75" s="256"/>
      <c r="O75" s="256"/>
      <c r="P75" s="264"/>
      <c r="Q75" s="256"/>
    </row>
    <row r="76" spans="1:17" ht="12.75" customHeight="1" x14ac:dyDescent="0.35">
      <c r="A76" s="342"/>
      <c r="B76" s="269"/>
      <c r="C76" s="284"/>
      <c r="D76" s="256"/>
      <c r="E76" s="256"/>
      <c r="F76" s="256"/>
      <c r="G76" s="256"/>
      <c r="H76" s="256"/>
      <c r="I76" s="256"/>
      <c r="J76" s="256"/>
      <c r="K76" s="256"/>
      <c r="L76" s="256"/>
      <c r="M76" s="256"/>
      <c r="N76" s="256"/>
      <c r="O76" s="256"/>
      <c r="P76" s="264"/>
      <c r="Q76" s="256"/>
    </row>
    <row r="77" spans="1:17" ht="12.75" customHeight="1" x14ac:dyDescent="0.35">
      <c r="A77" s="342"/>
      <c r="B77" s="269"/>
      <c r="C77" s="284">
        <f>Questionnaire!B41</f>
        <v>19</v>
      </c>
      <c r="D77" s="288" t="e">
        <f>CONCATENATE("Libraries opened during ",Year,"-",Year-1999)</f>
        <v>#REF!</v>
      </c>
      <c r="E77" s="256"/>
      <c r="F77" s="256"/>
      <c r="G77" s="256"/>
      <c r="H77" s="256"/>
      <c r="I77" s="256"/>
      <c r="J77" s="256"/>
      <c r="K77" s="256"/>
      <c r="L77" s="256"/>
      <c r="M77" s="256"/>
      <c r="N77" s="256"/>
      <c r="O77" s="256"/>
      <c r="P77" s="264"/>
      <c r="Q77" s="256"/>
    </row>
    <row r="78" spans="1:17" ht="12.75" customHeight="1" x14ac:dyDescent="0.35">
      <c r="A78" s="342"/>
      <c r="B78" s="269"/>
      <c r="C78" s="284"/>
      <c r="D78" s="533" t="s">
        <v>274</v>
      </c>
      <c r="E78" s="533"/>
      <c r="F78" s="533"/>
      <c r="G78" s="533"/>
      <c r="H78" s="533"/>
      <c r="I78" s="533"/>
      <c r="J78" s="533"/>
      <c r="K78" s="533"/>
      <c r="L78" s="533"/>
      <c r="M78" s="533"/>
      <c r="N78" s="533"/>
      <c r="O78" s="533"/>
      <c r="P78" s="264"/>
      <c r="Q78" s="256"/>
    </row>
    <row r="79" spans="1:17" ht="12.75" customHeight="1" x14ac:dyDescent="0.35">
      <c r="A79" s="342"/>
      <c r="B79" s="269"/>
      <c r="C79" s="284"/>
      <c r="D79" s="533"/>
      <c r="E79" s="533"/>
      <c r="F79" s="533"/>
      <c r="G79" s="533"/>
      <c r="H79" s="533"/>
      <c r="I79" s="533"/>
      <c r="J79" s="533"/>
      <c r="K79" s="533"/>
      <c r="L79" s="533"/>
      <c r="M79" s="533"/>
      <c r="N79" s="533"/>
      <c r="O79" s="533"/>
      <c r="P79" s="264"/>
      <c r="Q79" s="256"/>
    </row>
    <row r="80" spans="1:17" ht="12.75" customHeight="1" x14ac:dyDescent="0.35">
      <c r="A80" s="342"/>
      <c r="B80" s="269"/>
      <c r="C80" s="284"/>
      <c r="D80" s="256"/>
      <c r="E80" s="256"/>
      <c r="F80" s="256"/>
      <c r="G80" s="256"/>
      <c r="H80" s="256"/>
      <c r="I80" s="256"/>
      <c r="J80" s="256"/>
      <c r="K80" s="256"/>
      <c r="L80" s="256"/>
      <c r="M80" s="256"/>
      <c r="N80" s="256"/>
      <c r="O80" s="256"/>
      <c r="P80" s="264"/>
      <c r="Q80" s="256"/>
    </row>
    <row r="81" spans="1:17" ht="12.75" customHeight="1" x14ac:dyDescent="0.35">
      <c r="A81" s="342"/>
      <c r="B81" s="269"/>
      <c r="C81" s="284"/>
      <c r="D81" s="541" t="s">
        <v>275</v>
      </c>
      <c r="E81" s="541"/>
      <c r="F81" s="541"/>
      <c r="G81" s="541"/>
      <c r="H81" s="541"/>
      <c r="I81" s="541"/>
      <c r="J81" s="541"/>
      <c r="K81" s="541"/>
      <c r="L81" s="541"/>
      <c r="M81" s="541"/>
      <c r="N81" s="541"/>
      <c r="O81" s="541"/>
      <c r="P81" s="264"/>
      <c r="Q81" s="256"/>
    </row>
    <row r="82" spans="1:17" ht="12.75" customHeight="1" x14ac:dyDescent="0.35">
      <c r="A82" s="342"/>
      <c r="B82" s="269"/>
      <c r="C82" s="284"/>
      <c r="D82" s="541"/>
      <c r="E82" s="541"/>
      <c r="F82" s="541"/>
      <c r="G82" s="541"/>
      <c r="H82" s="541"/>
      <c r="I82" s="541"/>
      <c r="J82" s="541"/>
      <c r="K82" s="541"/>
      <c r="L82" s="541"/>
      <c r="M82" s="541"/>
      <c r="N82" s="541"/>
      <c r="O82" s="541"/>
      <c r="P82" s="264"/>
      <c r="Q82" s="256"/>
    </row>
    <row r="83" spans="1:17" ht="12.75" customHeight="1" x14ac:dyDescent="0.35">
      <c r="A83" s="342"/>
      <c r="B83" s="269"/>
      <c r="C83" s="284"/>
      <c r="D83" s="297"/>
      <c r="E83" s="297"/>
      <c r="F83" s="297"/>
      <c r="G83" s="297"/>
      <c r="H83" s="297"/>
      <c r="I83" s="297"/>
      <c r="J83" s="297"/>
      <c r="K83" s="297"/>
      <c r="L83" s="297"/>
      <c r="M83" s="297"/>
      <c r="N83" s="297"/>
      <c r="O83" s="297"/>
      <c r="P83" s="264"/>
      <c r="Q83" s="256"/>
    </row>
    <row r="84" spans="1:17" ht="12.75" customHeight="1" x14ac:dyDescent="0.35">
      <c r="A84" s="342"/>
      <c r="B84" s="287"/>
      <c r="C84" s="284" t="str">
        <f>CONCATENATE(Questionnaire!B51," &amp; ",Questionnaire!B54)</f>
        <v>21 &amp; 22</v>
      </c>
      <c r="D84" s="288" t="s">
        <v>276</v>
      </c>
      <c r="E84" s="256"/>
      <c r="F84" s="256"/>
      <c r="G84" s="256"/>
      <c r="H84" s="256"/>
      <c r="I84" s="256"/>
      <c r="J84" s="256"/>
      <c r="K84" s="256"/>
      <c r="L84" s="256"/>
      <c r="M84" s="256"/>
      <c r="N84" s="256"/>
      <c r="O84" s="256"/>
      <c r="P84" s="264"/>
      <c r="Q84" s="256"/>
    </row>
    <row r="85" spans="1:17" ht="12.75" customHeight="1" x14ac:dyDescent="0.35">
      <c r="A85" s="342"/>
      <c r="B85" s="269"/>
      <c r="C85" s="284"/>
      <c r="D85" s="533" t="s">
        <v>277</v>
      </c>
      <c r="E85" s="533"/>
      <c r="F85" s="533"/>
      <c r="G85" s="533"/>
      <c r="H85" s="533"/>
      <c r="I85" s="533"/>
      <c r="J85" s="533"/>
      <c r="K85" s="533"/>
      <c r="L85" s="533"/>
      <c r="M85" s="533"/>
      <c r="N85" s="533"/>
      <c r="O85" s="533"/>
      <c r="P85" s="264"/>
      <c r="Q85" s="256"/>
    </row>
    <row r="86" spans="1:17" ht="12.75" customHeight="1" x14ac:dyDescent="0.35">
      <c r="A86" s="342"/>
      <c r="B86" s="269"/>
      <c r="C86" s="284"/>
      <c r="D86" s="533"/>
      <c r="E86" s="533"/>
      <c r="F86" s="533"/>
      <c r="G86" s="533"/>
      <c r="H86" s="533"/>
      <c r="I86" s="533"/>
      <c r="J86" s="533"/>
      <c r="K86" s="533"/>
      <c r="L86" s="533"/>
      <c r="M86" s="533"/>
      <c r="N86" s="533"/>
      <c r="O86" s="533"/>
      <c r="P86" s="264"/>
      <c r="Q86" s="256"/>
    </row>
    <row r="87" spans="1:17" ht="12.75" customHeight="1" x14ac:dyDescent="0.35">
      <c r="A87" s="342"/>
      <c r="B87" s="269"/>
      <c r="C87" s="284"/>
      <c r="D87" s="533"/>
      <c r="E87" s="533"/>
      <c r="F87" s="533"/>
      <c r="G87" s="533"/>
      <c r="H87" s="533"/>
      <c r="I87" s="533"/>
      <c r="J87" s="533"/>
      <c r="K87" s="533"/>
      <c r="L87" s="533"/>
      <c r="M87" s="533"/>
      <c r="N87" s="533"/>
      <c r="O87" s="533"/>
      <c r="P87" s="264"/>
      <c r="Q87" s="256"/>
    </row>
    <row r="88" spans="1:17" ht="12.75" customHeight="1" x14ac:dyDescent="0.35">
      <c r="A88" s="342"/>
      <c r="B88" s="269"/>
      <c r="C88" s="284"/>
      <c r="D88" s="256"/>
      <c r="E88" s="256"/>
      <c r="F88" s="256"/>
      <c r="G88" s="256"/>
      <c r="H88" s="256"/>
      <c r="I88" s="256"/>
      <c r="J88" s="256"/>
      <c r="K88" s="256"/>
      <c r="L88" s="256"/>
      <c r="M88" s="256"/>
      <c r="N88" s="256"/>
      <c r="O88" s="256"/>
      <c r="P88" s="264"/>
      <c r="Q88" s="256"/>
    </row>
    <row r="89" spans="1:17" ht="12.75" customHeight="1" x14ac:dyDescent="0.35">
      <c r="A89" s="342"/>
      <c r="B89" s="287"/>
      <c r="C89" s="284">
        <f>Questionnaire!B64</f>
        <v>24</v>
      </c>
      <c r="D89" s="288" t="s">
        <v>88</v>
      </c>
      <c r="E89" s="256"/>
      <c r="F89" s="256"/>
      <c r="G89" s="256"/>
      <c r="H89" s="256"/>
      <c r="I89" s="256"/>
      <c r="J89" s="256"/>
      <c r="K89" s="256"/>
      <c r="L89" s="256"/>
      <c r="M89" s="256"/>
      <c r="N89" s="256"/>
      <c r="O89" s="256"/>
      <c r="P89" s="264"/>
      <c r="Q89" s="256"/>
    </row>
    <row r="90" spans="1:17" ht="12.75" customHeight="1" x14ac:dyDescent="0.35">
      <c r="A90" s="342"/>
      <c r="B90" s="269"/>
      <c r="C90" s="343" t="s">
        <v>54</v>
      </c>
      <c r="D90" s="532" t="s">
        <v>278</v>
      </c>
      <c r="E90" s="532"/>
      <c r="F90" s="532"/>
      <c r="G90" s="532"/>
      <c r="H90" s="532"/>
      <c r="I90" s="532"/>
      <c r="J90" s="532"/>
      <c r="K90" s="532"/>
      <c r="L90" s="532"/>
      <c r="M90" s="532"/>
      <c r="N90" s="532"/>
      <c r="O90" s="532"/>
      <c r="P90" s="264"/>
      <c r="Q90" s="256"/>
    </row>
    <row r="91" spans="1:17" ht="12.75" customHeight="1" x14ac:dyDescent="0.35">
      <c r="A91" s="342"/>
      <c r="B91" s="269"/>
      <c r="C91" s="284"/>
      <c r="D91" s="532"/>
      <c r="E91" s="532"/>
      <c r="F91" s="532"/>
      <c r="G91" s="532"/>
      <c r="H91" s="532"/>
      <c r="I91" s="532"/>
      <c r="J91" s="532"/>
      <c r="K91" s="532"/>
      <c r="L91" s="532"/>
      <c r="M91" s="532"/>
      <c r="N91" s="532"/>
      <c r="O91" s="532"/>
      <c r="P91" s="264"/>
      <c r="Q91" s="256"/>
    </row>
    <row r="92" spans="1:17" ht="12.75" customHeight="1" x14ac:dyDescent="0.35">
      <c r="A92" s="342"/>
      <c r="B92" s="269"/>
      <c r="C92" s="284"/>
      <c r="D92" s="532"/>
      <c r="E92" s="532"/>
      <c r="F92" s="532"/>
      <c r="G92" s="532"/>
      <c r="H92" s="532"/>
      <c r="I92" s="532"/>
      <c r="J92" s="532"/>
      <c r="K92" s="532"/>
      <c r="L92" s="532"/>
      <c r="M92" s="532"/>
      <c r="N92" s="532"/>
      <c r="O92" s="532"/>
      <c r="P92" s="264"/>
      <c r="Q92" s="256"/>
    </row>
    <row r="93" spans="1:17" ht="12.75" customHeight="1" x14ac:dyDescent="0.35">
      <c r="A93" s="342"/>
      <c r="B93" s="269"/>
      <c r="C93" s="284"/>
      <c r="D93" s="532"/>
      <c r="E93" s="532"/>
      <c r="F93" s="532"/>
      <c r="G93" s="532"/>
      <c r="H93" s="532"/>
      <c r="I93" s="532"/>
      <c r="J93" s="532"/>
      <c r="K93" s="532"/>
      <c r="L93" s="532"/>
      <c r="M93" s="532"/>
      <c r="N93" s="532"/>
      <c r="O93" s="532"/>
      <c r="P93" s="264"/>
      <c r="Q93" s="256"/>
    </row>
    <row r="94" spans="1:17" ht="12.75" customHeight="1" x14ac:dyDescent="0.35">
      <c r="A94" s="342"/>
      <c r="B94" s="269"/>
      <c r="C94" s="284"/>
      <c r="D94" s="532"/>
      <c r="E94" s="532"/>
      <c r="F94" s="532"/>
      <c r="G94" s="532"/>
      <c r="H94" s="532"/>
      <c r="I94" s="532"/>
      <c r="J94" s="532"/>
      <c r="K94" s="532"/>
      <c r="L94" s="532"/>
      <c r="M94" s="532"/>
      <c r="N94" s="532"/>
      <c r="O94" s="532"/>
      <c r="P94" s="264"/>
      <c r="Q94" s="256"/>
    </row>
    <row r="95" spans="1:17" ht="26.5" customHeight="1" x14ac:dyDescent="0.35">
      <c r="A95" s="342"/>
      <c r="B95" s="269"/>
      <c r="C95" s="284"/>
      <c r="D95" s="256"/>
      <c r="E95" s="256"/>
      <c r="F95" s="256"/>
      <c r="G95" s="256"/>
      <c r="H95" s="256"/>
      <c r="I95" s="256"/>
      <c r="J95" s="256"/>
      <c r="K95" s="256"/>
      <c r="L95" s="256"/>
      <c r="M95" s="256"/>
      <c r="N95" s="256"/>
      <c r="O95" s="256"/>
      <c r="P95" s="264"/>
      <c r="Q95" s="256"/>
    </row>
    <row r="96" spans="1:17" ht="12.75" customHeight="1" x14ac:dyDescent="0.35">
      <c r="A96" s="342"/>
      <c r="B96" s="287"/>
      <c r="C96" s="284">
        <f>Questionnaire!B65</f>
        <v>25</v>
      </c>
      <c r="D96" s="540" t="e">
        <f>CONCATENATE("Number of hours available for use of and access to the internet from 1 April ",Year," to 31 March ",Year+1)</f>
        <v>#REF!</v>
      </c>
      <c r="E96" s="540"/>
      <c r="F96" s="540"/>
      <c r="G96" s="540"/>
      <c r="H96" s="540"/>
      <c r="I96" s="540"/>
      <c r="J96" s="540"/>
      <c r="K96" s="540"/>
      <c r="L96" s="540"/>
      <c r="M96" s="540"/>
      <c r="N96" s="540"/>
      <c r="O96" s="540"/>
      <c r="P96" s="264"/>
      <c r="Q96" s="256"/>
    </row>
    <row r="97" spans="1:17" ht="12.75" customHeight="1" x14ac:dyDescent="0.35">
      <c r="A97" s="342"/>
      <c r="B97" s="287"/>
      <c r="C97" s="284"/>
      <c r="D97" s="540"/>
      <c r="E97" s="540"/>
      <c r="F97" s="540"/>
      <c r="G97" s="540"/>
      <c r="H97" s="540"/>
      <c r="I97" s="540"/>
      <c r="J97" s="540"/>
      <c r="K97" s="540"/>
      <c r="L97" s="540"/>
      <c r="M97" s="540"/>
      <c r="N97" s="540"/>
      <c r="O97" s="540"/>
      <c r="P97" s="264"/>
      <c r="Q97" s="256"/>
    </row>
    <row r="98" spans="1:17" ht="12.75" customHeight="1" x14ac:dyDescent="0.35">
      <c r="A98" s="342"/>
      <c r="B98" s="266"/>
      <c r="C98" s="284"/>
      <c r="D98" s="265" t="s">
        <v>279</v>
      </c>
      <c r="E98" s="256"/>
      <c r="F98" s="256"/>
      <c r="G98" s="256"/>
      <c r="H98" s="256"/>
      <c r="I98" s="256"/>
      <c r="J98" s="256"/>
      <c r="K98" s="256"/>
      <c r="L98" s="256"/>
      <c r="M98" s="256"/>
      <c r="N98" s="256"/>
      <c r="O98" s="256"/>
      <c r="P98" s="264"/>
      <c r="Q98" s="256"/>
    </row>
    <row r="99" spans="1:17" ht="12.75" customHeight="1" x14ac:dyDescent="0.35">
      <c r="A99" s="342"/>
      <c r="B99" s="269"/>
      <c r="C99" s="284"/>
      <c r="D99" s="256"/>
      <c r="E99" s="256"/>
      <c r="F99" s="256"/>
      <c r="G99" s="256"/>
      <c r="H99" s="256"/>
      <c r="I99" s="256"/>
      <c r="J99" s="256"/>
      <c r="K99" s="256"/>
      <c r="L99" s="256"/>
      <c r="M99" s="256"/>
      <c r="N99" s="256"/>
      <c r="O99" s="256"/>
      <c r="P99" s="264"/>
      <c r="Q99" s="256"/>
    </row>
    <row r="100" spans="1:17" ht="12.75" customHeight="1" x14ac:dyDescent="0.35">
      <c r="A100" s="342"/>
      <c r="B100" s="302"/>
      <c r="C100" s="284"/>
      <c r="D100" s="303" t="s">
        <v>280</v>
      </c>
      <c r="E100" s="256"/>
      <c r="F100" s="256"/>
      <c r="G100" s="256"/>
      <c r="H100" s="256"/>
      <c r="I100" s="256"/>
      <c r="J100" s="256"/>
      <c r="K100" s="256"/>
      <c r="L100" s="256"/>
      <c r="M100" s="256"/>
      <c r="N100" s="256"/>
      <c r="O100" s="256"/>
      <c r="P100" s="264"/>
      <c r="Q100" s="256"/>
    </row>
    <row r="101" spans="1:17" ht="12.75" customHeight="1" x14ac:dyDescent="0.35">
      <c r="A101" s="342"/>
      <c r="B101" s="302"/>
      <c r="C101" s="284"/>
      <c r="D101" s="303" t="s">
        <v>281</v>
      </c>
      <c r="E101" s="256"/>
      <c r="F101" s="256"/>
      <c r="G101" s="256"/>
      <c r="H101" s="256"/>
      <c r="I101" s="256"/>
      <c r="J101" s="256"/>
      <c r="K101" s="256"/>
      <c r="L101" s="256"/>
      <c r="M101" s="256"/>
      <c r="N101" s="256"/>
      <c r="O101" s="256"/>
      <c r="P101" s="264"/>
      <c r="Q101" s="256"/>
    </row>
    <row r="102" spans="1:17" ht="12.75" customHeight="1" x14ac:dyDescent="0.35">
      <c r="A102" s="342"/>
      <c r="B102" s="266"/>
      <c r="C102" s="284"/>
      <c r="D102" s="265"/>
      <c r="E102" s="256"/>
      <c r="F102" s="256"/>
      <c r="G102" s="256"/>
      <c r="H102" s="256"/>
      <c r="I102" s="256"/>
      <c r="J102" s="256"/>
      <c r="K102" s="256"/>
      <c r="L102" s="256"/>
      <c r="M102" s="256"/>
      <c r="N102" s="256"/>
      <c r="O102" s="256"/>
      <c r="P102" s="264"/>
      <c r="Q102" s="256"/>
    </row>
    <row r="103" spans="1:17" ht="12.75" customHeight="1" x14ac:dyDescent="0.35">
      <c r="A103" s="342"/>
      <c r="B103" s="266"/>
      <c r="C103" s="284"/>
      <c r="D103" s="265" t="s">
        <v>282</v>
      </c>
      <c r="E103" s="256"/>
      <c r="F103" s="256"/>
      <c r="G103" s="256"/>
      <c r="H103" s="256"/>
      <c r="I103" s="256"/>
      <c r="J103" s="256"/>
      <c r="K103" s="256"/>
      <c r="L103" s="256"/>
      <c r="M103" s="256"/>
      <c r="N103" s="256"/>
      <c r="O103" s="256"/>
      <c r="P103" s="264"/>
      <c r="Q103" s="256"/>
    </row>
    <row r="104" spans="1:17" ht="12.75" customHeight="1" x14ac:dyDescent="0.35">
      <c r="A104" s="342"/>
      <c r="B104" s="269"/>
      <c r="C104" s="284"/>
      <c r="D104" s="533" t="s">
        <v>283</v>
      </c>
      <c r="E104" s="533"/>
      <c r="F104" s="533"/>
      <c r="G104" s="533"/>
      <c r="H104" s="533"/>
      <c r="I104" s="533"/>
      <c r="J104" s="533"/>
      <c r="K104" s="533"/>
      <c r="L104" s="533"/>
      <c r="M104" s="533"/>
      <c r="N104" s="533"/>
      <c r="O104" s="533"/>
      <c r="P104" s="264"/>
      <c r="Q104" s="256"/>
    </row>
    <row r="105" spans="1:17" ht="12.75" customHeight="1" x14ac:dyDescent="0.35">
      <c r="A105" s="342"/>
      <c r="B105" s="269"/>
      <c r="C105" s="284"/>
      <c r="D105" s="533"/>
      <c r="E105" s="533"/>
      <c r="F105" s="533"/>
      <c r="G105" s="533"/>
      <c r="H105" s="533"/>
      <c r="I105" s="533"/>
      <c r="J105" s="533"/>
      <c r="K105" s="533"/>
      <c r="L105" s="533"/>
      <c r="M105" s="533"/>
      <c r="N105" s="533"/>
      <c r="O105" s="533"/>
      <c r="P105" s="264"/>
      <c r="Q105" s="256"/>
    </row>
    <row r="106" spans="1:17" ht="12.75" customHeight="1" x14ac:dyDescent="0.35">
      <c r="A106" s="342"/>
      <c r="B106" s="269"/>
      <c r="C106" s="284"/>
      <c r="D106" s="533"/>
      <c r="E106" s="533"/>
      <c r="F106" s="533"/>
      <c r="G106" s="533"/>
      <c r="H106" s="533"/>
      <c r="I106" s="533"/>
      <c r="J106" s="533"/>
      <c r="K106" s="533"/>
      <c r="L106" s="533"/>
      <c r="M106" s="533"/>
      <c r="N106" s="533"/>
      <c r="O106" s="533"/>
      <c r="P106" s="264"/>
      <c r="Q106" s="256"/>
    </row>
    <row r="107" spans="1:17" ht="12.75" customHeight="1" x14ac:dyDescent="0.35">
      <c r="A107" s="342"/>
      <c r="B107" s="269"/>
      <c r="C107" s="284"/>
      <c r="D107" s="256"/>
      <c r="E107" s="256"/>
      <c r="F107" s="256"/>
      <c r="G107" s="256"/>
      <c r="H107" s="256"/>
      <c r="I107" s="256"/>
      <c r="J107" s="256"/>
      <c r="K107" s="256"/>
      <c r="L107" s="256"/>
      <c r="M107" s="256"/>
      <c r="N107" s="256"/>
      <c r="O107" s="256"/>
      <c r="P107" s="264"/>
      <c r="Q107" s="256"/>
    </row>
    <row r="108" spans="1:17" ht="12.75" customHeight="1" x14ac:dyDescent="0.35">
      <c r="A108" s="342"/>
      <c r="B108" s="304"/>
      <c r="C108" s="284">
        <f>Questionnaire!B66</f>
        <v>26</v>
      </c>
      <c r="D108" s="540" t="e">
        <f>CONCATENATE("Number of hours recorded for use of and access to the internet from 1 April ",Year," to 31 March ",Year+1)</f>
        <v>#REF!</v>
      </c>
      <c r="E108" s="540"/>
      <c r="F108" s="540"/>
      <c r="G108" s="540"/>
      <c r="H108" s="540"/>
      <c r="I108" s="540"/>
      <c r="J108" s="540"/>
      <c r="K108" s="540"/>
      <c r="L108" s="540"/>
      <c r="M108" s="540"/>
      <c r="N108" s="540"/>
      <c r="O108" s="540"/>
      <c r="P108" s="264"/>
      <c r="Q108" s="256"/>
    </row>
    <row r="109" spans="1:17" ht="12.75" customHeight="1" x14ac:dyDescent="0.35">
      <c r="A109" s="342"/>
      <c r="B109" s="304"/>
      <c r="C109" s="284"/>
      <c r="D109" s="540"/>
      <c r="E109" s="540"/>
      <c r="F109" s="540"/>
      <c r="G109" s="540"/>
      <c r="H109" s="540"/>
      <c r="I109" s="540"/>
      <c r="J109" s="540"/>
      <c r="K109" s="540"/>
      <c r="L109" s="540"/>
      <c r="M109" s="540"/>
      <c r="N109" s="540"/>
      <c r="O109" s="540"/>
      <c r="P109" s="264"/>
      <c r="Q109" s="256"/>
    </row>
    <row r="110" spans="1:17" ht="12.75" customHeight="1" x14ac:dyDescent="0.35">
      <c r="A110" s="342"/>
      <c r="B110" s="269"/>
      <c r="C110" s="284"/>
      <c r="D110" s="532" t="s">
        <v>284</v>
      </c>
      <c r="E110" s="532"/>
      <c r="F110" s="532"/>
      <c r="G110" s="532"/>
      <c r="H110" s="532"/>
      <c r="I110" s="532"/>
      <c r="J110" s="532"/>
      <c r="K110" s="532"/>
      <c r="L110" s="532"/>
      <c r="M110" s="532"/>
      <c r="N110" s="532"/>
      <c r="O110" s="532"/>
      <c r="P110" s="264"/>
      <c r="Q110" s="256"/>
    </row>
    <row r="111" spans="1:17" ht="12.75" customHeight="1" x14ac:dyDescent="0.35">
      <c r="A111" s="342"/>
      <c r="B111" s="269"/>
      <c r="C111" s="284"/>
      <c r="D111" s="532"/>
      <c r="E111" s="532"/>
      <c r="F111" s="532"/>
      <c r="G111" s="532"/>
      <c r="H111" s="532"/>
      <c r="I111" s="532"/>
      <c r="J111" s="532"/>
      <c r="K111" s="532"/>
      <c r="L111" s="532"/>
      <c r="M111" s="532"/>
      <c r="N111" s="532"/>
      <c r="O111" s="532"/>
      <c r="P111" s="264"/>
      <c r="Q111" s="256"/>
    </row>
    <row r="112" spans="1:17" ht="12.75" customHeight="1" x14ac:dyDescent="0.35">
      <c r="A112" s="342"/>
      <c r="B112" s="269"/>
      <c r="C112" s="284"/>
      <c r="D112" s="256"/>
      <c r="E112" s="256"/>
      <c r="F112" s="256"/>
      <c r="G112" s="256"/>
      <c r="H112" s="256"/>
      <c r="I112" s="256"/>
      <c r="J112" s="256"/>
      <c r="K112" s="256"/>
      <c r="L112" s="256"/>
      <c r="M112" s="256"/>
      <c r="N112" s="256"/>
      <c r="O112" s="256"/>
      <c r="P112" s="264"/>
      <c r="Q112" s="256"/>
    </row>
    <row r="113" spans="1:17" ht="12.75" customHeight="1" x14ac:dyDescent="0.35">
      <c r="A113" s="342"/>
      <c r="B113" s="302"/>
      <c r="C113" s="284"/>
      <c r="D113" s="303" t="s">
        <v>285</v>
      </c>
      <c r="E113" s="256"/>
      <c r="F113" s="256"/>
      <c r="G113" s="256"/>
      <c r="H113" s="256"/>
      <c r="I113" s="256"/>
      <c r="J113" s="256"/>
      <c r="K113" s="256"/>
      <c r="L113" s="256"/>
      <c r="M113" s="256"/>
      <c r="N113" s="256"/>
      <c r="O113" s="256"/>
      <c r="P113" s="264"/>
      <c r="Q113" s="256"/>
    </row>
    <row r="114" spans="1:17" ht="12.75" customHeight="1" x14ac:dyDescent="0.35">
      <c r="A114" s="342"/>
      <c r="B114" s="302"/>
      <c r="C114" s="284"/>
      <c r="D114" s="303" t="s">
        <v>286</v>
      </c>
      <c r="E114" s="256"/>
      <c r="F114" s="256"/>
      <c r="G114" s="256"/>
      <c r="H114" s="256"/>
      <c r="I114" s="256"/>
      <c r="J114" s="256"/>
      <c r="K114" s="256"/>
      <c r="L114" s="256"/>
      <c r="M114" s="256"/>
      <c r="N114" s="256"/>
      <c r="O114" s="256"/>
      <c r="P114" s="264"/>
      <c r="Q114" s="256"/>
    </row>
    <row r="115" spans="1:17" ht="12.75" customHeight="1" x14ac:dyDescent="0.35">
      <c r="A115" s="342"/>
      <c r="B115" s="269"/>
      <c r="C115" s="284"/>
      <c r="D115" s="532" t="s">
        <v>287</v>
      </c>
      <c r="E115" s="532"/>
      <c r="F115" s="532"/>
      <c r="G115" s="532"/>
      <c r="H115" s="532"/>
      <c r="I115" s="532"/>
      <c r="J115" s="532"/>
      <c r="K115" s="532"/>
      <c r="L115" s="532"/>
      <c r="M115" s="532"/>
      <c r="N115" s="532"/>
      <c r="O115" s="532"/>
      <c r="P115" s="264"/>
      <c r="Q115" s="256"/>
    </row>
    <row r="116" spans="1:17" ht="12.75" customHeight="1" x14ac:dyDescent="0.35">
      <c r="A116" s="342"/>
      <c r="B116" s="269"/>
      <c r="C116" s="284"/>
      <c r="D116" s="532"/>
      <c r="E116" s="532"/>
      <c r="F116" s="532"/>
      <c r="G116" s="532"/>
      <c r="H116" s="532"/>
      <c r="I116" s="532"/>
      <c r="J116" s="532"/>
      <c r="K116" s="532"/>
      <c r="L116" s="532"/>
      <c r="M116" s="532"/>
      <c r="N116" s="532"/>
      <c r="O116" s="532"/>
      <c r="P116" s="264"/>
      <c r="Q116" s="256"/>
    </row>
    <row r="117" spans="1:17" ht="12.75" customHeight="1" thickBot="1" x14ac:dyDescent="0.4">
      <c r="A117" s="256"/>
      <c r="B117" s="289"/>
      <c r="C117" s="290"/>
      <c r="D117" s="305"/>
      <c r="E117" s="305"/>
      <c r="F117" s="305"/>
      <c r="G117" s="305"/>
      <c r="H117" s="305"/>
      <c r="I117" s="305"/>
      <c r="J117" s="305"/>
      <c r="K117" s="305"/>
      <c r="L117" s="305"/>
      <c r="M117" s="305"/>
      <c r="N117" s="305"/>
      <c r="O117" s="305"/>
      <c r="P117" s="292"/>
      <c r="Q117" s="256"/>
    </row>
    <row r="118" spans="1:17" ht="5.25" customHeight="1" x14ac:dyDescent="0.35">
      <c r="A118" s="256"/>
      <c r="B118" s="306"/>
      <c r="C118" s="294"/>
      <c r="D118" s="307"/>
      <c r="E118" s="307"/>
      <c r="F118" s="307"/>
      <c r="G118" s="307"/>
      <c r="H118" s="307"/>
      <c r="I118" s="307"/>
      <c r="J118" s="307"/>
      <c r="K118" s="307"/>
      <c r="L118" s="307"/>
      <c r="M118" s="307"/>
      <c r="N118" s="307"/>
      <c r="O118" s="307"/>
      <c r="P118" s="296"/>
      <c r="Q118" s="256"/>
    </row>
    <row r="119" spans="1:17" ht="12.75" customHeight="1" x14ac:dyDescent="0.35">
      <c r="A119" s="256"/>
      <c r="B119" s="283"/>
      <c r="C119" s="284"/>
      <c r="D119" s="285" t="s">
        <v>288</v>
      </c>
      <c r="E119" s="256"/>
      <c r="F119" s="256"/>
      <c r="G119" s="256"/>
      <c r="H119" s="256"/>
      <c r="I119" s="256"/>
      <c r="J119" s="256"/>
      <c r="K119" s="256"/>
      <c r="L119" s="256"/>
      <c r="M119" s="256"/>
      <c r="N119" s="256"/>
      <c r="O119" s="256"/>
      <c r="P119" s="264"/>
      <c r="Q119" s="256"/>
    </row>
    <row r="120" spans="1:17" ht="12.75" customHeight="1" x14ac:dyDescent="0.35">
      <c r="A120" s="256"/>
      <c r="B120" s="269"/>
      <c r="C120" s="284"/>
      <c r="D120" s="256"/>
      <c r="E120" s="256"/>
      <c r="F120" s="256"/>
      <c r="G120" s="256"/>
      <c r="H120" s="256"/>
      <c r="I120" s="256"/>
      <c r="J120" s="256"/>
      <c r="K120" s="256"/>
      <c r="L120" s="256"/>
      <c r="M120" s="256"/>
      <c r="N120" s="256"/>
      <c r="O120" s="256"/>
      <c r="P120" s="264"/>
      <c r="Q120" s="256"/>
    </row>
    <row r="121" spans="1:17" ht="12.75" customHeight="1" x14ac:dyDescent="0.35">
      <c r="A121" s="256"/>
      <c r="B121" s="287"/>
      <c r="C121" s="284" t="str">
        <f>CONCATENATE(Questionnaire!B75," to ",Questionnaire!B101)</f>
        <v>29 to 44</v>
      </c>
      <c r="D121" s="288" t="s">
        <v>213</v>
      </c>
      <c r="E121" s="256"/>
      <c r="F121" s="256"/>
      <c r="G121" s="256"/>
      <c r="H121" s="256"/>
      <c r="I121" s="256"/>
      <c r="J121" s="256"/>
      <c r="K121" s="256"/>
      <c r="L121" s="256"/>
      <c r="M121" s="256"/>
      <c r="N121" s="256"/>
      <c r="O121" s="256"/>
      <c r="P121" s="264"/>
      <c r="Q121" s="256"/>
    </row>
    <row r="122" spans="1:17" ht="12.75" customHeight="1" x14ac:dyDescent="0.35">
      <c r="A122" s="256"/>
      <c r="B122" s="269"/>
      <c r="C122" s="343" t="s">
        <v>54</v>
      </c>
      <c r="D122" s="533" t="s">
        <v>289</v>
      </c>
      <c r="E122" s="533"/>
      <c r="F122" s="533"/>
      <c r="G122" s="533"/>
      <c r="H122" s="533"/>
      <c r="I122" s="533"/>
      <c r="J122" s="533"/>
      <c r="K122" s="533"/>
      <c r="L122" s="533"/>
      <c r="M122" s="533"/>
      <c r="N122" s="533"/>
      <c r="O122" s="533"/>
      <c r="P122" s="264"/>
      <c r="Q122" s="256"/>
    </row>
    <row r="123" spans="1:17" ht="12.75" customHeight="1" x14ac:dyDescent="0.35">
      <c r="A123" s="256"/>
      <c r="B123" s="269"/>
      <c r="C123" s="284"/>
      <c r="D123" s="533"/>
      <c r="E123" s="533"/>
      <c r="F123" s="533"/>
      <c r="G123" s="533"/>
      <c r="H123" s="533"/>
      <c r="I123" s="533"/>
      <c r="J123" s="533"/>
      <c r="K123" s="533"/>
      <c r="L123" s="533"/>
      <c r="M123" s="533"/>
      <c r="N123" s="533"/>
      <c r="O123" s="533"/>
      <c r="P123" s="264"/>
      <c r="Q123" s="256"/>
    </row>
    <row r="124" spans="1:17" ht="12.75" customHeight="1" x14ac:dyDescent="0.35">
      <c r="A124" s="256"/>
      <c r="B124" s="269"/>
      <c r="C124" s="284"/>
      <c r="D124" s="533"/>
      <c r="E124" s="533"/>
      <c r="F124" s="533"/>
      <c r="G124" s="533"/>
      <c r="H124" s="533"/>
      <c r="I124" s="533"/>
      <c r="J124" s="533"/>
      <c r="K124" s="533"/>
      <c r="L124" s="533"/>
      <c r="M124" s="533"/>
      <c r="N124" s="533"/>
      <c r="O124" s="533"/>
      <c r="P124" s="264"/>
      <c r="Q124" s="256"/>
    </row>
    <row r="125" spans="1:17" ht="12.75" customHeight="1" x14ac:dyDescent="0.35">
      <c r="A125" s="256"/>
      <c r="B125" s="269"/>
      <c r="C125" s="284"/>
      <c r="D125" s="533"/>
      <c r="E125" s="533"/>
      <c r="F125" s="533"/>
      <c r="G125" s="533"/>
      <c r="H125" s="533"/>
      <c r="I125" s="533"/>
      <c r="J125" s="533"/>
      <c r="K125" s="533"/>
      <c r="L125" s="533"/>
      <c r="M125" s="533"/>
      <c r="N125" s="533"/>
      <c r="O125" s="533"/>
      <c r="P125" s="264"/>
      <c r="Q125" s="256"/>
    </row>
    <row r="126" spans="1:17" ht="12.75" customHeight="1" x14ac:dyDescent="0.35">
      <c r="A126" s="256"/>
      <c r="B126" s="269"/>
      <c r="C126" s="284"/>
      <c r="D126" s="533"/>
      <c r="E126" s="533"/>
      <c r="F126" s="533"/>
      <c r="G126" s="533"/>
      <c r="H126" s="533"/>
      <c r="I126" s="533"/>
      <c r="J126" s="533"/>
      <c r="K126" s="533"/>
      <c r="L126" s="533"/>
      <c r="M126" s="533"/>
      <c r="N126" s="533"/>
      <c r="O126" s="533"/>
      <c r="P126" s="264"/>
      <c r="Q126" s="256"/>
    </row>
    <row r="127" spans="1:17" ht="32.5" customHeight="1" x14ac:dyDescent="0.35">
      <c r="A127" s="256"/>
      <c r="B127" s="269"/>
      <c r="C127" s="284"/>
      <c r="D127" s="256"/>
      <c r="E127" s="256"/>
      <c r="F127" s="256"/>
      <c r="G127" s="256"/>
      <c r="H127" s="256"/>
      <c r="I127" s="256"/>
      <c r="J127" s="256"/>
      <c r="K127" s="256"/>
      <c r="L127" s="256"/>
      <c r="M127" s="256"/>
      <c r="N127" s="256"/>
      <c r="O127" s="256"/>
      <c r="P127" s="264"/>
      <c r="Q127" s="256"/>
    </row>
    <row r="128" spans="1:17" ht="11.25" customHeight="1" x14ac:dyDescent="0.35">
      <c r="A128" s="256"/>
      <c r="B128" s="287"/>
      <c r="C128" s="284">
        <f>Questionnaire!B78</f>
        <v>30</v>
      </c>
      <c r="D128" s="288" t="s">
        <v>290</v>
      </c>
      <c r="E128" s="256"/>
      <c r="F128" s="256"/>
      <c r="G128" s="256"/>
      <c r="H128" s="256"/>
      <c r="I128" s="256"/>
      <c r="J128" s="256"/>
      <c r="K128" s="256"/>
      <c r="L128" s="256"/>
      <c r="M128" s="256"/>
      <c r="N128" s="256"/>
      <c r="O128" s="256"/>
      <c r="P128" s="264"/>
      <c r="Q128" s="256"/>
    </row>
    <row r="129" spans="1:17" ht="12.75" customHeight="1" x14ac:dyDescent="0.35">
      <c r="A129" s="256"/>
      <c r="B129" s="269"/>
      <c r="C129" s="284"/>
      <c r="D129" s="533" t="s">
        <v>291</v>
      </c>
      <c r="E129" s="533"/>
      <c r="F129" s="533"/>
      <c r="G129" s="533"/>
      <c r="H129" s="533"/>
      <c r="I129" s="533"/>
      <c r="J129" s="533"/>
      <c r="K129" s="533"/>
      <c r="L129" s="533"/>
      <c r="M129" s="533"/>
      <c r="N129" s="533"/>
      <c r="O129" s="533"/>
      <c r="P129" s="264"/>
      <c r="Q129" s="256"/>
    </row>
    <row r="130" spans="1:17" ht="12.75" customHeight="1" x14ac:dyDescent="0.35">
      <c r="A130" s="256"/>
      <c r="B130" s="269"/>
      <c r="C130" s="284"/>
      <c r="D130" s="533"/>
      <c r="E130" s="533"/>
      <c r="F130" s="533"/>
      <c r="G130" s="533"/>
      <c r="H130" s="533"/>
      <c r="I130" s="533"/>
      <c r="J130" s="533"/>
      <c r="K130" s="533"/>
      <c r="L130" s="533"/>
      <c r="M130" s="533"/>
      <c r="N130" s="533"/>
      <c r="O130" s="533"/>
      <c r="P130" s="264"/>
      <c r="Q130" s="256"/>
    </row>
    <row r="131" spans="1:17" ht="12.75" customHeight="1" x14ac:dyDescent="0.35">
      <c r="A131" s="256"/>
      <c r="B131" s="269"/>
      <c r="C131" s="284"/>
      <c r="D131" s="256"/>
      <c r="E131" s="256"/>
      <c r="F131" s="256"/>
      <c r="G131" s="256"/>
      <c r="H131" s="256"/>
      <c r="I131" s="256"/>
      <c r="J131" s="256"/>
      <c r="K131" s="256"/>
      <c r="L131" s="256"/>
      <c r="M131" s="256"/>
      <c r="N131" s="256"/>
      <c r="O131" s="256"/>
      <c r="P131" s="264"/>
      <c r="Q131" s="256"/>
    </row>
    <row r="132" spans="1:17" ht="12.75" customHeight="1" x14ac:dyDescent="0.35">
      <c r="A132" s="256"/>
      <c r="B132" s="287"/>
      <c r="C132" s="284" t="str">
        <f>CONCATENATE(Questionnaire!B80," to ",Questionnaire!B84)</f>
        <v>31 to 35</v>
      </c>
      <c r="D132" s="288" t="s">
        <v>292</v>
      </c>
      <c r="E132" s="256"/>
      <c r="F132" s="256"/>
      <c r="G132" s="256"/>
      <c r="H132" s="256"/>
      <c r="I132" s="256"/>
      <c r="J132" s="256"/>
      <c r="K132" s="256"/>
      <c r="L132" s="256"/>
      <c r="M132" s="256"/>
      <c r="N132" s="256"/>
      <c r="O132" s="256"/>
      <c r="P132" s="264"/>
      <c r="Q132" s="256"/>
    </row>
    <row r="133" spans="1:17" ht="12.75" customHeight="1" x14ac:dyDescent="0.35">
      <c r="A133" s="256"/>
      <c r="B133" s="269"/>
      <c r="C133" s="284"/>
      <c r="D133" s="533" t="s">
        <v>293</v>
      </c>
      <c r="E133" s="533"/>
      <c r="F133" s="533"/>
      <c r="G133" s="533"/>
      <c r="H133" s="533"/>
      <c r="I133" s="533"/>
      <c r="J133" s="533"/>
      <c r="K133" s="533"/>
      <c r="L133" s="533"/>
      <c r="M133" s="533"/>
      <c r="N133" s="533"/>
      <c r="O133" s="533"/>
      <c r="P133" s="264"/>
      <c r="Q133" s="256"/>
    </row>
    <row r="134" spans="1:17" ht="12.75" customHeight="1" x14ac:dyDescent="0.35">
      <c r="A134" s="256"/>
      <c r="B134" s="269"/>
      <c r="C134" s="284"/>
      <c r="D134" s="533"/>
      <c r="E134" s="533"/>
      <c r="F134" s="533"/>
      <c r="G134" s="533"/>
      <c r="H134" s="533"/>
      <c r="I134" s="533"/>
      <c r="J134" s="533"/>
      <c r="K134" s="533"/>
      <c r="L134" s="533"/>
      <c r="M134" s="533"/>
      <c r="N134" s="533"/>
      <c r="O134" s="533"/>
      <c r="P134" s="264"/>
      <c r="Q134" s="256"/>
    </row>
    <row r="135" spans="1:17" ht="12.75" customHeight="1" x14ac:dyDescent="0.35">
      <c r="A135" s="256"/>
      <c r="B135" s="269"/>
      <c r="C135" s="284"/>
      <c r="D135" s="533"/>
      <c r="E135" s="533"/>
      <c r="F135" s="533"/>
      <c r="G135" s="533"/>
      <c r="H135" s="533"/>
      <c r="I135" s="533"/>
      <c r="J135" s="533"/>
      <c r="K135" s="533"/>
      <c r="L135" s="533"/>
      <c r="M135" s="533"/>
      <c r="N135" s="533"/>
      <c r="O135" s="533"/>
      <c r="P135" s="264"/>
      <c r="Q135" s="256"/>
    </row>
    <row r="136" spans="1:17" ht="12.75" customHeight="1" x14ac:dyDescent="0.35">
      <c r="A136" s="256"/>
      <c r="B136" s="269"/>
      <c r="C136" s="284"/>
      <c r="D136" s="256"/>
      <c r="E136" s="256"/>
      <c r="F136" s="256"/>
      <c r="G136" s="256"/>
      <c r="H136" s="256"/>
      <c r="I136" s="256"/>
      <c r="J136" s="256"/>
      <c r="K136" s="256"/>
      <c r="L136" s="256"/>
      <c r="M136" s="256"/>
      <c r="N136" s="256"/>
      <c r="O136" s="256"/>
      <c r="P136" s="264"/>
      <c r="Q136" s="256"/>
    </row>
    <row r="137" spans="1:17" ht="12.75" customHeight="1" x14ac:dyDescent="0.35">
      <c r="A137" s="256"/>
      <c r="B137" s="287"/>
      <c r="C137" s="284">
        <f>Questionnaire!B86</f>
        <v>36</v>
      </c>
      <c r="D137" s="288" t="s">
        <v>103</v>
      </c>
      <c r="E137" s="256"/>
      <c r="F137" s="256"/>
      <c r="G137" s="256"/>
      <c r="H137" s="256"/>
      <c r="I137" s="256"/>
      <c r="J137" s="256"/>
      <c r="K137" s="256"/>
      <c r="L137" s="256"/>
      <c r="M137" s="256"/>
      <c r="N137" s="256"/>
      <c r="O137" s="256"/>
      <c r="P137" s="264"/>
      <c r="Q137" s="256"/>
    </row>
    <row r="138" spans="1:17" ht="12.75" customHeight="1" x14ac:dyDescent="0.35">
      <c r="A138" s="256"/>
      <c r="B138" s="269"/>
      <c r="C138" s="284"/>
      <c r="D138" s="533" t="str">
        <f>CONCATENATE("Include books in transit, set aside for binding or repair, in temporary stores or otherwise unavailable for the public.  Reference books in reserve stock should be included in line ",Questionnaire!B78,".")</f>
        <v>Include books in transit, set aside for binding or repair, in temporary stores or otherwise unavailable for the public.  Reference books in reserve stock should be included in line 30.</v>
      </c>
      <c r="E138" s="533"/>
      <c r="F138" s="533"/>
      <c r="G138" s="533"/>
      <c r="H138" s="533"/>
      <c r="I138" s="533"/>
      <c r="J138" s="533"/>
      <c r="K138" s="533"/>
      <c r="L138" s="533"/>
      <c r="M138" s="533"/>
      <c r="N138" s="533"/>
      <c r="O138" s="533"/>
      <c r="P138" s="264"/>
      <c r="Q138" s="256"/>
    </row>
    <row r="139" spans="1:17" ht="12.75" customHeight="1" x14ac:dyDescent="0.35">
      <c r="A139" s="256"/>
      <c r="B139" s="269"/>
      <c r="C139" s="284"/>
      <c r="D139" s="533"/>
      <c r="E139" s="533"/>
      <c r="F139" s="533"/>
      <c r="G139" s="533"/>
      <c r="H139" s="533"/>
      <c r="I139" s="533"/>
      <c r="J139" s="533"/>
      <c r="K139" s="533"/>
      <c r="L139" s="533"/>
      <c r="M139" s="533"/>
      <c r="N139" s="533"/>
      <c r="O139" s="533"/>
      <c r="P139" s="264"/>
      <c r="Q139" s="256"/>
    </row>
    <row r="140" spans="1:17" ht="12.75" customHeight="1" x14ac:dyDescent="0.35">
      <c r="A140" s="256"/>
      <c r="B140" s="269"/>
      <c r="C140" s="284"/>
      <c r="D140" s="256"/>
      <c r="E140" s="256"/>
      <c r="F140" s="256"/>
      <c r="G140" s="256"/>
      <c r="H140" s="256"/>
      <c r="I140" s="256"/>
      <c r="J140" s="256"/>
      <c r="K140" s="256"/>
      <c r="L140" s="256"/>
      <c r="M140" s="256"/>
      <c r="N140" s="256"/>
      <c r="O140" s="256"/>
      <c r="P140" s="264"/>
      <c r="Q140" s="256"/>
    </row>
    <row r="141" spans="1:17" ht="12.75" customHeight="1" x14ac:dyDescent="0.35">
      <c r="A141" s="256"/>
      <c r="B141" s="287"/>
      <c r="C141" s="284" t="str">
        <f>CONCATENATE(Questionnaire!B93," to ",Questionnaire!B101)</f>
        <v>38 to 44</v>
      </c>
      <c r="D141" s="288" t="s">
        <v>104</v>
      </c>
      <c r="E141" s="256"/>
      <c r="F141" s="256"/>
      <c r="G141" s="256"/>
      <c r="H141" s="256"/>
      <c r="I141" s="256"/>
      <c r="J141" s="256"/>
      <c r="K141" s="256"/>
      <c r="L141" s="256"/>
      <c r="M141" s="256"/>
      <c r="N141" s="256"/>
      <c r="O141" s="256"/>
      <c r="P141" s="264"/>
      <c r="Q141" s="256"/>
    </row>
    <row r="142" spans="1:17" ht="12.75" customHeight="1" x14ac:dyDescent="0.35">
      <c r="A142" s="256"/>
      <c r="B142" s="269"/>
      <c r="C142" s="284"/>
      <c r="D142" s="533" t="s">
        <v>294</v>
      </c>
      <c r="E142" s="533"/>
      <c r="F142" s="533"/>
      <c r="G142" s="533"/>
      <c r="H142" s="533"/>
      <c r="I142" s="533"/>
      <c r="J142" s="533"/>
      <c r="K142" s="533"/>
      <c r="L142" s="533"/>
      <c r="M142" s="533"/>
      <c r="N142" s="533"/>
      <c r="O142" s="533"/>
      <c r="P142" s="264"/>
      <c r="Q142" s="256"/>
    </row>
    <row r="143" spans="1:17" ht="12.75" customHeight="1" x14ac:dyDescent="0.35">
      <c r="A143" s="256"/>
      <c r="B143" s="269"/>
      <c r="C143" s="284"/>
      <c r="D143" s="533"/>
      <c r="E143" s="533"/>
      <c r="F143" s="533"/>
      <c r="G143" s="533"/>
      <c r="H143" s="533"/>
      <c r="I143" s="533"/>
      <c r="J143" s="533"/>
      <c r="K143" s="533"/>
      <c r="L143" s="533"/>
      <c r="M143" s="533"/>
      <c r="N143" s="533"/>
      <c r="O143" s="533"/>
      <c r="P143" s="264"/>
      <c r="Q143" s="256"/>
    </row>
    <row r="144" spans="1:17" ht="12.75" customHeight="1" x14ac:dyDescent="0.35">
      <c r="A144" s="256"/>
      <c r="B144" s="308"/>
      <c r="C144" s="284"/>
      <c r="D144" s="272"/>
      <c r="E144" s="272"/>
      <c r="F144" s="272"/>
      <c r="G144" s="272"/>
      <c r="H144" s="272"/>
      <c r="I144" s="272"/>
      <c r="J144" s="272"/>
      <c r="K144" s="272"/>
      <c r="L144" s="272"/>
      <c r="M144" s="272"/>
      <c r="N144" s="272"/>
      <c r="O144" s="272"/>
      <c r="P144" s="264"/>
      <c r="Q144" s="256"/>
    </row>
    <row r="145" spans="1:17" ht="12.75" customHeight="1" x14ac:dyDescent="0.35">
      <c r="A145" s="342"/>
      <c r="B145" s="283"/>
      <c r="C145" s="284"/>
      <c r="D145" s="285" t="s">
        <v>295</v>
      </c>
      <c r="E145" s="256"/>
      <c r="F145" s="256"/>
      <c r="G145" s="256"/>
      <c r="H145" s="256"/>
      <c r="I145" s="256"/>
      <c r="J145" s="256"/>
      <c r="K145" s="256"/>
      <c r="L145" s="256"/>
      <c r="M145" s="256"/>
      <c r="N145" s="256"/>
      <c r="O145" s="256"/>
      <c r="P145" s="264"/>
      <c r="Q145" s="256"/>
    </row>
    <row r="146" spans="1:17" ht="12.75" customHeight="1" x14ac:dyDescent="0.35">
      <c r="A146" s="342"/>
      <c r="B146" s="269"/>
      <c r="C146" s="284"/>
      <c r="D146" s="256"/>
      <c r="E146" s="256"/>
      <c r="F146" s="256"/>
      <c r="G146" s="256"/>
      <c r="H146" s="256"/>
      <c r="I146" s="256"/>
      <c r="J146" s="256"/>
      <c r="K146" s="256"/>
      <c r="L146" s="256"/>
      <c r="M146" s="256"/>
      <c r="N146" s="256"/>
      <c r="O146" s="256"/>
      <c r="P146" s="264"/>
      <c r="Q146" s="256"/>
    </row>
    <row r="147" spans="1:17" ht="12.75" customHeight="1" x14ac:dyDescent="0.35">
      <c r="A147" s="342"/>
      <c r="B147" s="287"/>
      <c r="C147" s="284" t="str">
        <f>CONCATENATE(Questionnaire!B111," &amp; ",Questionnaire!B112)</f>
        <v>46 &amp; 47</v>
      </c>
      <c r="D147" s="288" t="s">
        <v>296</v>
      </c>
      <c r="E147" s="256"/>
      <c r="F147" s="256"/>
      <c r="G147" s="256"/>
      <c r="H147" s="256"/>
      <c r="I147" s="256"/>
      <c r="J147" s="256"/>
      <c r="K147" s="256"/>
      <c r="L147" s="256"/>
      <c r="M147" s="256"/>
      <c r="N147" s="256"/>
      <c r="O147" s="256"/>
      <c r="P147" s="264"/>
      <c r="Q147" s="256"/>
    </row>
    <row r="148" spans="1:17" ht="12.75" customHeight="1" x14ac:dyDescent="0.35">
      <c r="A148" s="342"/>
      <c r="B148" s="269"/>
      <c r="C148" s="343"/>
      <c r="D148" s="533" t="s">
        <v>297</v>
      </c>
      <c r="E148" s="533"/>
      <c r="F148" s="533"/>
      <c r="G148" s="533"/>
      <c r="H148" s="533"/>
      <c r="I148" s="533"/>
      <c r="J148" s="533"/>
      <c r="K148" s="533"/>
      <c r="L148" s="533"/>
      <c r="M148" s="533"/>
      <c r="N148" s="533"/>
      <c r="O148" s="533"/>
      <c r="P148" s="264"/>
      <c r="Q148" s="256"/>
    </row>
    <row r="149" spans="1:17" ht="12.75" customHeight="1" x14ac:dyDescent="0.35">
      <c r="A149" s="342"/>
      <c r="B149" s="269"/>
      <c r="C149" s="284"/>
      <c r="D149" s="533"/>
      <c r="E149" s="533"/>
      <c r="F149" s="533"/>
      <c r="G149" s="533"/>
      <c r="H149" s="533"/>
      <c r="I149" s="533"/>
      <c r="J149" s="533"/>
      <c r="K149" s="533"/>
      <c r="L149" s="533"/>
      <c r="M149" s="533"/>
      <c r="N149" s="533"/>
      <c r="O149" s="533"/>
      <c r="P149" s="264"/>
      <c r="Q149" s="256"/>
    </row>
    <row r="150" spans="1:17" ht="12.75" customHeight="1" x14ac:dyDescent="0.35">
      <c r="A150" s="342"/>
      <c r="B150" s="269"/>
      <c r="C150" s="284"/>
      <c r="D150" s="533"/>
      <c r="E150" s="533"/>
      <c r="F150" s="533"/>
      <c r="G150" s="533"/>
      <c r="H150" s="533"/>
      <c r="I150" s="533"/>
      <c r="J150" s="533"/>
      <c r="K150" s="533"/>
      <c r="L150" s="533"/>
      <c r="M150" s="533"/>
      <c r="N150" s="533"/>
      <c r="O150" s="533"/>
      <c r="P150" s="264"/>
      <c r="Q150" s="256"/>
    </row>
    <row r="151" spans="1:17" ht="12.75" customHeight="1" x14ac:dyDescent="0.35">
      <c r="A151" s="342"/>
      <c r="B151" s="308"/>
      <c r="C151" s="284"/>
      <c r="D151" s="272"/>
      <c r="E151" s="272"/>
      <c r="F151" s="272"/>
      <c r="G151" s="272"/>
      <c r="H151" s="272"/>
      <c r="I151" s="272"/>
      <c r="J151" s="272"/>
      <c r="K151" s="272"/>
      <c r="L151" s="272"/>
      <c r="M151" s="272"/>
      <c r="N151" s="272"/>
      <c r="O151" s="272"/>
      <c r="P151" s="264"/>
      <c r="Q151" s="256"/>
    </row>
    <row r="152" spans="1:17" ht="12.75" customHeight="1" x14ac:dyDescent="0.35">
      <c r="A152" s="342"/>
      <c r="B152" s="287"/>
      <c r="C152" s="284">
        <f>Questionnaire!B113</f>
        <v>48</v>
      </c>
      <c r="D152" s="534" t="s">
        <v>298</v>
      </c>
      <c r="E152" s="534"/>
      <c r="F152" s="534"/>
      <c r="G152" s="534"/>
      <c r="H152" s="534"/>
      <c r="I152" s="534"/>
      <c r="J152" s="534"/>
      <c r="K152" s="534"/>
      <c r="L152" s="534"/>
      <c r="M152" s="534"/>
      <c r="N152" s="534"/>
      <c r="O152" s="534"/>
      <c r="P152" s="264"/>
      <c r="Q152" s="256"/>
    </row>
    <row r="153" spans="1:17" ht="12.75" customHeight="1" x14ac:dyDescent="0.35">
      <c r="A153" s="342"/>
      <c r="B153" s="287"/>
      <c r="C153" s="343"/>
      <c r="D153" s="534"/>
      <c r="E153" s="534"/>
      <c r="F153" s="534"/>
      <c r="G153" s="534"/>
      <c r="H153" s="534"/>
      <c r="I153" s="534"/>
      <c r="J153" s="534"/>
      <c r="K153" s="534"/>
      <c r="L153" s="534"/>
      <c r="M153" s="534"/>
      <c r="N153" s="534"/>
      <c r="O153" s="534"/>
      <c r="P153" s="264"/>
      <c r="Q153" s="256"/>
    </row>
    <row r="154" spans="1:17" ht="12.75" customHeight="1" x14ac:dyDescent="0.35">
      <c r="A154" s="342"/>
      <c r="B154" s="269"/>
      <c r="C154" s="284"/>
      <c r="D154" s="533" t="s">
        <v>299</v>
      </c>
      <c r="E154" s="533"/>
      <c r="F154" s="533"/>
      <c r="G154" s="533"/>
      <c r="H154" s="533"/>
      <c r="I154" s="533"/>
      <c r="J154" s="533"/>
      <c r="K154" s="533"/>
      <c r="L154" s="533"/>
      <c r="M154" s="533"/>
      <c r="N154" s="533"/>
      <c r="O154" s="533"/>
      <c r="P154" s="264"/>
      <c r="Q154" s="256"/>
    </row>
    <row r="155" spans="1:17" ht="12.75" customHeight="1" x14ac:dyDescent="0.35">
      <c r="A155" s="342"/>
      <c r="B155" s="269"/>
      <c r="C155" s="284"/>
      <c r="D155" s="533"/>
      <c r="E155" s="533"/>
      <c r="F155" s="533"/>
      <c r="G155" s="533"/>
      <c r="H155" s="533"/>
      <c r="I155" s="533"/>
      <c r="J155" s="533"/>
      <c r="K155" s="533"/>
      <c r="L155" s="533"/>
      <c r="M155" s="533"/>
      <c r="N155" s="533"/>
      <c r="O155" s="533"/>
      <c r="P155" s="264"/>
      <c r="Q155" s="256"/>
    </row>
    <row r="156" spans="1:17" ht="12.75" customHeight="1" x14ac:dyDescent="0.35">
      <c r="A156" s="342"/>
      <c r="B156" s="269"/>
      <c r="C156" s="284"/>
      <c r="D156" s="533"/>
      <c r="E156" s="533"/>
      <c r="F156" s="533"/>
      <c r="G156" s="533"/>
      <c r="H156" s="533"/>
      <c r="I156" s="533"/>
      <c r="J156" s="533"/>
      <c r="K156" s="533"/>
      <c r="L156" s="533"/>
      <c r="M156" s="533"/>
      <c r="N156" s="533"/>
      <c r="O156" s="533"/>
      <c r="P156" s="264"/>
      <c r="Q156" s="256"/>
    </row>
    <row r="157" spans="1:17" ht="12.75" customHeight="1" x14ac:dyDescent="0.35">
      <c r="A157" s="342"/>
      <c r="B157" s="269"/>
      <c r="C157" s="284"/>
      <c r="D157" s="533"/>
      <c r="E157" s="533"/>
      <c r="F157" s="533"/>
      <c r="G157" s="533"/>
      <c r="H157" s="533"/>
      <c r="I157" s="533"/>
      <c r="J157" s="533"/>
      <c r="K157" s="533"/>
      <c r="L157" s="533"/>
      <c r="M157" s="533"/>
      <c r="N157" s="533"/>
      <c r="O157" s="533"/>
      <c r="P157" s="264"/>
      <c r="Q157" s="256"/>
    </row>
    <row r="158" spans="1:17" ht="12.75" customHeight="1" x14ac:dyDescent="0.35">
      <c r="A158" s="342"/>
      <c r="B158" s="269"/>
      <c r="C158" s="284"/>
      <c r="D158" s="533"/>
      <c r="E158" s="533"/>
      <c r="F158" s="533"/>
      <c r="G158" s="533"/>
      <c r="H158" s="533"/>
      <c r="I158" s="533"/>
      <c r="J158" s="533"/>
      <c r="K158" s="533"/>
      <c r="L158" s="533"/>
      <c r="M158" s="533"/>
      <c r="N158" s="533"/>
      <c r="O158" s="533"/>
      <c r="P158" s="264"/>
      <c r="Q158" s="256"/>
    </row>
    <row r="159" spans="1:17" ht="12.75" customHeight="1" x14ac:dyDescent="0.35">
      <c r="A159" s="342"/>
      <c r="B159" s="269"/>
      <c r="C159" s="284"/>
      <c r="D159" s="533"/>
      <c r="E159" s="533"/>
      <c r="F159" s="533"/>
      <c r="G159" s="533"/>
      <c r="H159" s="533"/>
      <c r="I159" s="533"/>
      <c r="J159" s="533"/>
      <c r="K159" s="533"/>
      <c r="L159" s="533"/>
      <c r="M159" s="533"/>
      <c r="N159" s="533"/>
      <c r="O159" s="533"/>
      <c r="P159" s="264"/>
      <c r="Q159" s="256"/>
    </row>
    <row r="160" spans="1:17" ht="12.75" customHeight="1" x14ac:dyDescent="0.35">
      <c r="A160" s="342"/>
      <c r="B160" s="269"/>
      <c r="C160" s="284"/>
      <c r="D160" s="533"/>
      <c r="E160" s="533"/>
      <c r="F160" s="533"/>
      <c r="G160" s="533"/>
      <c r="H160" s="533"/>
      <c r="I160" s="533"/>
      <c r="J160" s="533"/>
      <c r="K160" s="533"/>
      <c r="L160" s="533"/>
      <c r="M160" s="533"/>
      <c r="N160" s="533"/>
      <c r="O160" s="533"/>
      <c r="P160" s="264"/>
      <c r="Q160" s="256"/>
    </row>
    <row r="161" spans="1:17" ht="12.75" customHeight="1" x14ac:dyDescent="0.35">
      <c r="A161" s="342"/>
      <c r="B161" s="269"/>
      <c r="C161" s="284"/>
      <c r="D161" s="533"/>
      <c r="E161" s="533"/>
      <c r="F161" s="533"/>
      <c r="G161" s="533"/>
      <c r="H161" s="533"/>
      <c r="I161" s="533"/>
      <c r="J161" s="533"/>
      <c r="K161" s="533"/>
      <c r="L161" s="533"/>
      <c r="M161" s="533"/>
      <c r="N161" s="533"/>
      <c r="O161" s="533"/>
      <c r="P161" s="264"/>
      <c r="Q161" s="256"/>
    </row>
    <row r="162" spans="1:17" ht="12.75" customHeight="1" x14ac:dyDescent="0.35">
      <c r="A162" s="342"/>
      <c r="B162" s="269"/>
      <c r="C162" s="284"/>
      <c r="D162" s="533"/>
      <c r="E162" s="533"/>
      <c r="F162" s="533"/>
      <c r="G162" s="533"/>
      <c r="H162" s="533"/>
      <c r="I162" s="533"/>
      <c r="J162" s="533"/>
      <c r="K162" s="533"/>
      <c r="L162" s="533"/>
      <c r="M162" s="533"/>
      <c r="N162" s="533"/>
      <c r="O162" s="533"/>
      <c r="P162" s="264"/>
      <c r="Q162" s="256"/>
    </row>
    <row r="163" spans="1:17" ht="12.75" customHeight="1" x14ac:dyDescent="0.35">
      <c r="A163" s="342"/>
      <c r="B163" s="287"/>
      <c r="C163" s="284" t="str">
        <f>CONCATENATE(Questionnaire!B125," to ",Questionnaire!B132)</f>
        <v>52 to 57</v>
      </c>
      <c r="D163" s="288" t="s">
        <v>300</v>
      </c>
      <c r="E163" s="256"/>
      <c r="F163" s="256"/>
      <c r="G163" s="256"/>
      <c r="H163" s="256"/>
      <c r="I163" s="256"/>
      <c r="J163" s="256"/>
      <c r="K163" s="256"/>
      <c r="L163" s="256"/>
      <c r="M163" s="256"/>
      <c r="N163" s="256"/>
      <c r="O163" s="256"/>
      <c r="P163" s="264"/>
      <c r="Q163" s="256"/>
    </row>
    <row r="164" spans="1:17" ht="12.75" customHeight="1" x14ac:dyDescent="0.35">
      <c r="A164" s="342"/>
      <c r="B164" s="269"/>
      <c r="C164" s="284"/>
      <c r="D164" s="533" t="s">
        <v>301</v>
      </c>
      <c r="E164" s="533"/>
      <c r="F164" s="533"/>
      <c r="G164" s="533"/>
      <c r="H164" s="533"/>
      <c r="I164" s="533"/>
      <c r="J164" s="533"/>
      <c r="K164" s="533"/>
      <c r="L164" s="533"/>
      <c r="M164" s="533"/>
      <c r="N164" s="533"/>
      <c r="O164" s="533"/>
      <c r="P164" s="264"/>
      <c r="Q164" s="256"/>
    </row>
    <row r="165" spans="1:17" ht="12.75" customHeight="1" x14ac:dyDescent="0.35">
      <c r="A165" s="342"/>
      <c r="B165" s="269"/>
      <c r="C165" s="284"/>
      <c r="D165" s="533"/>
      <c r="E165" s="533"/>
      <c r="F165" s="533"/>
      <c r="G165" s="533"/>
      <c r="H165" s="533"/>
      <c r="I165" s="533"/>
      <c r="J165" s="533"/>
      <c r="K165" s="533"/>
      <c r="L165" s="533"/>
      <c r="M165" s="533"/>
      <c r="N165" s="533"/>
      <c r="O165" s="533"/>
      <c r="P165" s="264"/>
      <c r="Q165" s="256"/>
    </row>
    <row r="166" spans="1:17" ht="12.75" customHeight="1" thickBot="1" x14ac:dyDescent="0.4">
      <c r="A166" s="342"/>
      <c r="B166" s="289"/>
      <c r="C166" s="290"/>
      <c r="D166" s="311"/>
      <c r="E166" s="311"/>
      <c r="F166" s="311"/>
      <c r="G166" s="311"/>
      <c r="H166" s="311"/>
      <c r="I166" s="311"/>
      <c r="J166" s="311"/>
      <c r="K166" s="311"/>
      <c r="L166" s="311"/>
      <c r="M166" s="311"/>
      <c r="N166" s="311"/>
      <c r="O166" s="311"/>
      <c r="P166" s="292"/>
      <c r="Q166" s="256"/>
    </row>
    <row r="167" spans="1:17" ht="5.25" customHeight="1" x14ac:dyDescent="0.35">
      <c r="A167" s="342"/>
      <c r="B167" s="293"/>
      <c r="C167" s="294"/>
      <c r="D167" s="295"/>
      <c r="E167" s="295"/>
      <c r="F167" s="295"/>
      <c r="G167" s="295"/>
      <c r="H167" s="295"/>
      <c r="I167" s="295"/>
      <c r="J167" s="295"/>
      <c r="K167" s="295"/>
      <c r="L167" s="295"/>
      <c r="M167" s="295"/>
      <c r="N167" s="295"/>
      <c r="O167" s="295"/>
      <c r="P167" s="296"/>
      <c r="Q167" s="256"/>
    </row>
    <row r="168" spans="1:17" ht="12.75" customHeight="1" x14ac:dyDescent="0.35">
      <c r="A168" s="342"/>
      <c r="B168" s="287"/>
      <c r="C168" s="284" t="str">
        <f>CONCATENATE(Questionnaire!B127," &amp; ",Questionnaire!B128)</f>
        <v>53 &amp; 54</v>
      </c>
      <c r="D168" s="288" t="s">
        <v>302</v>
      </c>
      <c r="E168" s="256"/>
      <c r="F168" s="256"/>
      <c r="G168" s="256"/>
      <c r="H168" s="256"/>
      <c r="I168" s="256"/>
      <c r="J168" s="256"/>
      <c r="K168" s="256"/>
      <c r="L168" s="256"/>
      <c r="M168" s="256"/>
      <c r="N168" s="256"/>
      <c r="O168" s="256"/>
      <c r="P168" s="264"/>
      <c r="Q168" s="256"/>
    </row>
    <row r="169" spans="1:17" ht="12.75" customHeight="1" x14ac:dyDescent="0.35">
      <c r="A169" s="342"/>
      <c r="B169" s="269"/>
      <c r="C169" s="284"/>
      <c r="D169" s="533" t="s">
        <v>303</v>
      </c>
      <c r="E169" s="533"/>
      <c r="F169" s="533"/>
      <c r="G169" s="533"/>
      <c r="H169" s="533"/>
      <c r="I169" s="533"/>
      <c r="J169" s="533"/>
      <c r="K169" s="533"/>
      <c r="L169" s="533"/>
      <c r="M169" s="533"/>
      <c r="N169" s="533"/>
      <c r="O169" s="533"/>
      <c r="P169" s="264"/>
      <c r="Q169" s="256"/>
    </row>
    <row r="170" spans="1:17" ht="12.75" customHeight="1" x14ac:dyDescent="0.35">
      <c r="A170" s="342"/>
      <c r="B170" s="269"/>
      <c r="C170" s="284"/>
      <c r="D170" s="533"/>
      <c r="E170" s="533"/>
      <c r="F170" s="533"/>
      <c r="G170" s="533"/>
      <c r="H170" s="533"/>
      <c r="I170" s="533"/>
      <c r="J170" s="533"/>
      <c r="K170" s="533"/>
      <c r="L170" s="533"/>
      <c r="M170" s="533"/>
      <c r="N170" s="533"/>
      <c r="O170" s="533"/>
      <c r="P170" s="264"/>
      <c r="Q170" s="256"/>
    </row>
    <row r="171" spans="1:17" ht="12.75" customHeight="1" x14ac:dyDescent="0.35">
      <c r="A171" s="342"/>
      <c r="B171" s="269"/>
      <c r="C171" s="284"/>
      <c r="D171" s="533"/>
      <c r="E171" s="533"/>
      <c r="F171" s="533"/>
      <c r="G171" s="533"/>
      <c r="H171" s="533"/>
      <c r="I171" s="533"/>
      <c r="J171" s="533"/>
      <c r="K171" s="533"/>
      <c r="L171" s="533"/>
      <c r="M171" s="533"/>
      <c r="N171" s="533"/>
      <c r="O171" s="533"/>
      <c r="P171" s="264"/>
      <c r="Q171" s="256"/>
    </row>
    <row r="172" spans="1:17" ht="12.75" customHeight="1" x14ac:dyDescent="0.35">
      <c r="A172" s="342"/>
      <c r="B172" s="269"/>
      <c r="C172" s="284"/>
      <c r="D172" s="533"/>
      <c r="E172" s="533"/>
      <c r="F172" s="533"/>
      <c r="G172" s="533"/>
      <c r="H172" s="533"/>
      <c r="I172" s="533"/>
      <c r="J172" s="533"/>
      <c r="K172" s="533"/>
      <c r="L172" s="533"/>
      <c r="M172" s="533"/>
      <c r="N172" s="533"/>
      <c r="O172" s="533"/>
      <c r="P172" s="264"/>
      <c r="Q172" s="256"/>
    </row>
    <row r="173" spans="1:17" ht="12.75" customHeight="1" x14ac:dyDescent="0.35">
      <c r="A173" s="342"/>
      <c r="B173" s="269"/>
      <c r="C173" s="284"/>
      <c r="D173" s="256"/>
      <c r="E173" s="256"/>
      <c r="F173" s="256"/>
      <c r="G173" s="256"/>
      <c r="H173" s="256"/>
      <c r="I173" s="256"/>
      <c r="J173" s="256"/>
      <c r="K173" s="256"/>
      <c r="L173" s="256"/>
      <c r="M173" s="256"/>
      <c r="N173" s="256"/>
      <c r="O173" s="256"/>
      <c r="P173" s="264"/>
      <c r="Q173" s="256"/>
    </row>
    <row r="174" spans="1:17" ht="12.75" customHeight="1" x14ac:dyDescent="0.35">
      <c r="A174" s="342"/>
      <c r="B174" s="287"/>
      <c r="C174" s="284">
        <f>Questionnaire!B129</f>
        <v>55</v>
      </c>
      <c r="D174" s="534" t="s">
        <v>114</v>
      </c>
      <c r="E174" s="534"/>
      <c r="F174" s="534"/>
      <c r="G174" s="534"/>
      <c r="H174" s="534"/>
      <c r="I174" s="534"/>
      <c r="J174" s="534"/>
      <c r="K174" s="534"/>
      <c r="L174" s="534"/>
      <c r="M174" s="534"/>
      <c r="N174" s="534"/>
      <c r="O174" s="534"/>
      <c r="P174" s="264"/>
      <c r="Q174" s="256"/>
    </row>
    <row r="175" spans="1:17" ht="12.75" customHeight="1" x14ac:dyDescent="0.35">
      <c r="A175" s="342"/>
      <c r="B175" s="287"/>
      <c r="C175" s="284"/>
      <c r="D175" s="534"/>
      <c r="E175" s="534"/>
      <c r="F175" s="534"/>
      <c r="G175" s="534"/>
      <c r="H175" s="534"/>
      <c r="I175" s="534"/>
      <c r="J175" s="534"/>
      <c r="K175" s="534"/>
      <c r="L175" s="534"/>
      <c r="M175" s="534"/>
      <c r="N175" s="534"/>
      <c r="O175" s="534"/>
      <c r="P175" s="264"/>
      <c r="Q175" s="256"/>
    </row>
    <row r="176" spans="1:17" ht="12.75" customHeight="1" x14ac:dyDescent="0.35">
      <c r="A176" s="342"/>
      <c r="B176" s="269"/>
      <c r="C176" s="284"/>
      <c r="D176" s="533" t="s">
        <v>304</v>
      </c>
      <c r="E176" s="533"/>
      <c r="F176" s="533"/>
      <c r="G176" s="533"/>
      <c r="H176" s="533"/>
      <c r="I176" s="533"/>
      <c r="J176" s="533"/>
      <c r="K176" s="533"/>
      <c r="L176" s="533"/>
      <c r="M176" s="533"/>
      <c r="N176" s="533"/>
      <c r="O176" s="533"/>
      <c r="P176" s="264"/>
      <c r="Q176" s="256"/>
    </row>
    <row r="177" spans="1:17" ht="12.75" customHeight="1" x14ac:dyDescent="0.35">
      <c r="A177" s="342"/>
      <c r="B177" s="269"/>
      <c r="C177" s="284"/>
      <c r="D177" s="533"/>
      <c r="E177" s="533"/>
      <c r="F177" s="533"/>
      <c r="G177" s="533"/>
      <c r="H177" s="533"/>
      <c r="I177" s="533"/>
      <c r="J177" s="533"/>
      <c r="K177" s="533"/>
      <c r="L177" s="533"/>
      <c r="M177" s="533"/>
      <c r="N177" s="533"/>
      <c r="O177" s="533"/>
      <c r="P177" s="264"/>
      <c r="Q177" s="256"/>
    </row>
    <row r="178" spans="1:17" ht="12.75" customHeight="1" x14ac:dyDescent="0.35">
      <c r="A178" s="342"/>
      <c r="B178" s="269"/>
      <c r="C178" s="284"/>
      <c r="D178" s="533"/>
      <c r="E178" s="533"/>
      <c r="F178" s="533"/>
      <c r="G178" s="533"/>
      <c r="H178" s="533"/>
      <c r="I178" s="533"/>
      <c r="J178" s="533"/>
      <c r="K178" s="533"/>
      <c r="L178" s="533"/>
      <c r="M178" s="533"/>
      <c r="N178" s="533"/>
      <c r="O178" s="533"/>
      <c r="P178" s="264"/>
      <c r="Q178" s="256"/>
    </row>
    <row r="179" spans="1:17" ht="12.75" customHeight="1" x14ac:dyDescent="0.35">
      <c r="A179" s="342"/>
      <c r="B179" s="269"/>
      <c r="C179" s="284"/>
      <c r="D179" s="533"/>
      <c r="E179" s="533"/>
      <c r="F179" s="533"/>
      <c r="G179" s="533"/>
      <c r="H179" s="533"/>
      <c r="I179" s="533"/>
      <c r="J179" s="533"/>
      <c r="K179" s="533"/>
      <c r="L179" s="533"/>
      <c r="M179" s="533"/>
      <c r="N179" s="533"/>
      <c r="O179" s="533"/>
      <c r="P179" s="264"/>
      <c r="Q179" s="256"/>
    </row>
    <row r="180" spans="1:17" ht="12.75" customHeight="1" x14ac:dyDescent="0.35">
      <c r="A180" s="342"/>
      <c r="B180" s="269"/>
      <c r="C180" s="284"/>
      <c r="D180" s="533"/>
      <c r="E180" s="533"/>
      <c r="F180" s="533"/>
      <c r="G180" s="533"/>
      <c r="H180" s="533"/>
      <c r="I180" s="533"/>
      <c r="J180" s="533"/>
      <c r="K180" s="533"/>
      <c r="L180" s="533"/>
      <c r="M180" s="533"/>
      <c r="N180" s="533"/>
      <c r="O180" s="533"/>
      <c r="P180" s="264"/>
      <c r="Q180" s="256"/>
    </row>
    <row r="181" spans="1:17" ht="12.75" customHeight="1" x14ac:dyDescent="0.35">
      <c r="A181" s="342"/>
      <c r="B181" s="269"/>
      <c r="C181" s="284"/>
      <c r="D181" s="533"/>
      <c r="E181" s="533"/>
      <c r="F181" s="533"/>
      <c r="G181" s="533"/>
      <c r="H181" s="533"/>
      <c r="I181" s="533"/>
      <c r="J181" s="533"/>
      <c r="K181" s="533"/>
      <c r="L181" s="533"/>
      <c r="M181" s="533"/>
      <c r="N181" s="533"/>
      <c r="O181" s="533"/>
      <c r="P181" s="264"/>
      <c r="Q181" s="256"/>
    </row>
    <row r="182" spans="1:17" ht="12.75" customHeight="1" x14ac:dyDescent="0.35">
      <c r="A182" s="342"/>
      <c r="B182" s="269"/>
      <c r="C182" s="284"/>
      <c r="D182" s="533"/>
      <c r="E182" s="533"/>
      <c r="F182" s="533"/>
      <c r="G182" s="533"/>
      <c r="H182" s="533"/>
      <c r="I182" s="533"/>
      <c r="J182" s="533"/>
      <c r="K182" s="533"/>
      <c r="L182" s="533"/>
      <c r="M182" s="533"/>
      <c r="N182" s="533"/>
      <c r="O182" s="533"/>
      <c r="P182" s="264"/>
      <c r="Q182" s="256"/>
    </row>
    <row r="183" spans="1:17" ht="12.75" customHeight="1" x14ac:dyDescent="0.35">
      <c r="A183" s="342"/>
      <c r="B183" s="269"/>
      <c r="C183" s="284"/>
      <c r="D183" s="533"/>
      <c r="E183" s="533"/>
      <c r="F183" s="533"/>
      <c r="G183" s="533"/>
      <c r="H183" s="533"/>
      <c r="I183" s="533"/>
      <c r="J183" s="533"/>
      <c r="K183" s="533"/>
      <c r="L183" s="533"/>
      <c r="M183" s="533"/>
      <c r="N183" s="533"/>
      <c r="O183" s="533"/>
      <c r="P183" s="264"/>
      <c r="Q183" s="256"/>
    </row>
    <row r="184" spans="1:17" ht="12.75" customHeight="1" x14ac:dyDescent="0.35">
      <c r="A184" s="342"/>
      <c r="B184" s="269"/>
      <c r="C184" s="284"/>
      <c r="D184" s="533"/>
      <c r="E184" s="533"/>
      <c r="F184" s="533"/>
      <c r="G184" s="533"/>
      <c r="H184" s="533"/>
      <c r="I184" s="533"/>
      <c r="J184" s="533"/>
      <c r="K184" s="533"/>
      <c r="L184" s="533"/>
      <c r="M184" s="533"/>
      <c r="N184" s="533"/>
      <c r="O184" s="533"/>
      <c r="P184" s="264"/>
      <c r="Q184" s="256"/>
    </row>
    <row r="185" spans="1:17" ht="12.75" customHeight="1" x14ac:dyDescent="0.35">
      <c r="A185" s="342"/>
      <c r="B185" s="308"/>
      <c r="C185" s="284"/>
      <c r="D185" s="272"/>
      <c r="E185" s="272"/>
      <c r="F185" s="272"/>
      <c r="G185" s="272"/>
      <c r="H185" s="272"/>
      <c r="I185" s="272"/>
      <c r="J185" s="272"/>
      <c r="K185" s="272"/>
      <c r="L185" s="272"/>
      <c r="M185" s="272"/>
      <c r="N185" s="272"/>
      <c r="O185" s="272"/>
      <c r="P185" s="264"/>
      <c r="Q185" s="256"/>
    </row>
    <row r="186" spans="1:17" ht="12.75" customHeight="1" x14ac:dyDescent="0.35">
      <c r="A186" s="342"/>
      <c r="B186" s="283"/>
      <c r="C186" s="343"/>
      <c r="D186" s="285" t="s">
        <v>305</v>
      </c>
      <c r="E186" s="256"/>
      <c r="F186" s="256"/>
      <c r="G186" s="256"/>
      <c r="H186" s="355"/>
      <c r="I186" s="256"/>
      <c r="J186" s="256"/>
      <c r="K186" s="256"/>
      <c r="L186" s="256"/>
      <c r="M186" s="256"/>
      <c r="N186" s="256"/>
      <c r="O186" s="256"/>
      <c r="P186" s="264"/>
      <c r="Q186" s="256"/>
    </row>
    <row r="187" spans="1:17" ht="12.75" customHeight="1" x14ac:dyDescent="0.35">
      <c r="A187" s="342"/>
      <c r="B187" s="269"/>
      <c r="C187" s="284"/>
      <c r="D187" s="256"/>
      <c r="E187" s="256"/>
      <c r="F187" s="256"/>
      <c r="G187" s="256"/>
      <c r="H187" s="256"/>
      <c r="I187" s="256"/>
      <c r="J187" s="256"/>
      <c r="K187" s="256"/>
      <c r="L187" s="256"/>
      <c r="M187" s="256"/>
      <c r="N187" s="256"/>
      <c r="O187" s="256"/>
      <c r="P187" s="264"/>
      <c r="Q187" s="256"/>
    </row>
    <row r="188" spans="1:17" ht="12.75" customHeight="1" x14ac:dyDescent="0.35">
      <c r="A188" s="342"/>
      <c r="B188" s="269"/>
      <c r="C188" s="284">
        <f>Questionnaire!B141</f>
        <v>58</v>
      </c>
      <c r="D188" s="533" t="s">
        <v>306</v>
      </c>
      <c r="E188" s="533"/>
      <c r="F188" s="533"/>
      <c r="G188" s="533"/>
      <c r="H188" s="533"/>
      <c r="I188" s="533"/>
      <c r="J188" s="533"/>
      <c r="K188" s="533"/>
      <c r="L188" s="533"/>
      <c r="M188" s="533"/>
      <c r="N188" s="533"/>
      <c r="O188" s="533"/>
      <c r="P188" s="264"/>
      <c r="Q188" s="256"/>
    </row>
    <row r="189" spans="1:17" ht="12.75" customHeight="1" x14ac:dyDescent="0.35">
      <c r="A189" s="342"/>
      <c r="B189" s="269"/>
      <c r="C189" s="284"/>
      <c r="D189" s="533"/>
      <c r="E189" s="533"/>
      <c r="F189" s="533"/>
      <c r="G189" s="533"/>
      <c r="H189" s="533"/>
      <c r="I189" s="533"/>
      <c r="J189" s="533"/>
      <c r="K189" s="533"/>
      <c r="L189" s="533"/>
      <c r="M189" s="533"/>
      <c r="N189" s="533"/>
      <c r="O189" s="533"/>
      <c r="P189" s="264"/>
      <c r="Q189" s="256"/>
    </row>
    <row r="190" spans="1:17" ht="12.75" customHeight="1" x14ac:dyDescent="0.35">
      <c r="A190" s="342"/>
      <c r="B190" s="269"/>
      <c r="C190" s="284">
        <f>Questionnaire!B142</f>
        <v>59</v>
      </c>
      <c r="D190" s="533" t="s">
        <v>307</v>
      </c>
      <c r="E190" s="533"/>
      <c r="F190" s="533"/>
      <c r="G190" s="533"/>
      <c r="H190" s="533"/>
      <c r="I190" s="533"/>
      <c r="J190" s="533"/>
      <c r="K190" s="533"/>
      <c r="L190" s="533"/>
      <c r="M190" s="533"/>
      <c r="N190" s="533"/>
      <c r="O190" s="533"/>
      <c r="P190" s="264"/>
      <c r="Q190" s="256"/>
    </row>
    <row r="191" spans="1:17" ht="12.75" customHeight="1" x14ac:dyDescent="0.35">
      <c r="A191" s="342"/>
      <c r="B191" s="269"/>
      <c r="C191" s="284"/>
      <c r="D191" s="533"/>
      <c r="E191" s="533"/>
      <c r="F191" s="533"/>
      <c r="G191" s="533"/>
      <c r="H191" s="533"/>
      <c r="I191" s="533"/>
      <c r="J191" s="533"/>
      <c r="K191" s="533"/>
      <c r="L191" s="533"/>
      <c r="M191" s="533"/>
      <c r="N191" s="533"/>
      <c r="O191" s="533"/>
      <c r="P191" s="264"/>
      <c r="Q191" s="256"/>
    </row>
    <row r="192" spans="1:17" ht="12.75" customHeight="1" x14ac:dyDescent="0.35">
      <c r="A192" s="342"/>
      <c r="B192" s="269"/>
      <c r="C192" s="284">
        <f>Questionnaire!B143</f>
        <v>60</v>
      </c>
      <c r="D192" s="533" t="s">
        <v>308</v>
      </c>
      <c r="E192" s="533"/>
      <c r="F192" s="533"/>
      <c r="G192" s="533"/>
      <c r="H192" s="533"/>
      <c r="I192" s="533"/>
      <c r="J192" s="533"/>
      <c r="K192" s="533"/>
      <c r="L192" s="533"/>
      <c r="M192" s="533"/>
      <c r="N192" s="533"/>
      <c r="O192" s="533"/>
      <c r="P192" s="264"/>
      <c r="Q192" s="256"/>
    </row>
    <row r="193" spans="1:17" ht="12.75" customHeight="1" x14ac:dyDescent="0.35">
      <c r="A193" s="342"/>
      <c r="B193" s="269"/>
      <c r="C193" s="284"/>
      <c r="D193" s="533"/>
      <c r="E193" s="533"/>
      <c r="F193" s="533"/>
      <c r="G193" s="533"/>
      <c r="H193" s="533"/>
      <c r="I193" s="533"/>
      <c r="J193" s="533"/>
      <c r="K193" s="533"/>
      <c r="L193" s="533"/>
      <c r="M193" s="533"/>
      <c r="N193" s="533"/>
      <c r="O193" s="533"/>
      <c r="P193" s="264"/>
      <c r="Q193" s="256"/>
    </row>
    <row r="194" spans="1:17" ht="12.75" customHeight="1" x14ac:dyDescent="0.35">
      <c r="A194" s="342"/>
      <c r="B194" s="269"/>
      <c r="C194" s="284">
        <f>Questionnaire!B144</f>
        <v>61</v>
      </c>
      <c r="D194" s="533" t="s">
        <v>309</v>
      </c>
      <c r="E194" s="533"/>
      <c r="F194" s="533"/>
      <c r="G194" s="533"/>
      <c r="H194" s="533"/>
      <c r="I194" s="533"/>
      <c r="J194" s="533"/>
      <c r="K194" s="533"/>
      <c r="L194" s="533"/>
      <c r="M194" s="533"/>
      <c r="N194" s="533"/>
      <c r="O194" s="533"/>
      <c r="P194" s="264"/>
      <c r="Q194" s="256"/>
    </row>
    <row r="195" spans="1:17" ht="12.75" customHeight="1" x14ac:dyDescent="0.35">
      <c r="A195" s="342"/>
      <c r="B195" s="269"/>
      <c r="C195" s="284"/>
      <c r="D195" s="533"/>
      <c r="E195" s="533"/>
      <c r="F195" s="533"/>
      <c r="G195" s="533"/>
      <c r="H195" s="533"/>
      <c r="I195" s="533"/>
      <c r="J195" s="533"/>
      <c r="K195" s="533"/>
      <c r="L195" s="533"/>
      <c r="M195" s="533"/>
      <c r="N195" s="533"/>
      <c r="O195" s="533"/>
      <c r="P195" s="264"/>
      <c r="Q195" s="256"/>
    </row>
    <row r="196" spans="1:17" ht="12.75" customHeight="1" x14ac:dyDescent="0.35">
      <c r="A196" s="342"/>
      <c r="B196" s="269"/>
      <c r="C196" s="284">
        <f>Questionnaire!B145</f>
        <v>62</v>
      </c>
      <c r="D196" s="533" t="s">
        <v>310</v>
      </c>
      <c r="E196" s="533"/>
      <c r="F196" s="533"/>
      <c r="G196" s="533"/>
      <c r="H196" s="533"/>
      <c r="I196" s="533"/>
      <c r="J196" s="533"/>
      <c r="K196" s="533"/>
      <c r="L196" s="533"/>
      <c r="M196" s="533"/>
      <c r="N196" s="533"/>
      <c r="O196" s="533"/>
      <c r="P196" s="264"/>
      <c r="Q196" s="256"/>
    </row>
    <row r="197" spans="1:17" ht="12.75" customHeight="1" x14ac:dyDescent="0.35">
      <c r="A197" s="342"/>
      <c r="B197" s="269"/>
      <c r="C197" s="343"/>
      <c r="D197" s="533"/>
      <c r="E197" s="533"/>
      <c r="F197" s="533"/>
      <c r="G197" s="533"/>
      <c r="H197" s="533"/>
      <c r="I197" s="533"/>
      <c r="J197" s="533"/>
      <c r="K197" s="533"/>
      <c r="L197" s="533"/>
      <c r="M197" s="533"/>
      <c r="N197" s="533"/>
      <c r="O197" s="533"/>
      <c r="P197" s="264"/>
      <c r="Q197" s="256"/>
    </row>
    <row r="198" spans="1:17" ht="12.75" customHeight="1" x14ac:dyDescent="0.35">
      <c r="A198" s="342"/>
      <c r="B198" s="269"/>
      <c r="C198" s="284">
        <f>C196+1</f>
        <v>63</v>
      </c>
      <c r="D198" s="545" t="s">
        <v>311</v>
      </c>
      <c r="E198" s="545"/>
      <c r="F198" s="545"/>
      <c r="G198" s="545"/>
      <c r="H198" s="545"/>
      <c r="I198" s="545"/>
      <c r="J198" s="545"/>
      <c r="K198" s="545"/>
      <c r="L198" s="545"/>
      <c r="M198" s="545"/>
      <c r="N198" s="545"/>
      <c r="O198" s="545"/>
      <c r="P198" s="264"/>
      <c r="Q198" s="256"/>
    </row>
    <row r="199" spans="1:17" ht="12.75" customHeight="1" x14ac:dyDescent="0.35">
      <c r="A199" s="256"/>
      <c r="B199" s="269"/>
      <c r="C199" s="284"/>
      <c r="D199" s="256"/>
      <c r="E199" s="256"/>
      <c r="F199" s="256"/>
      <c r="G199" s="256"/>
      <c r="H199" s="256"/>
      <c r="I199" s="256"/>
      <c r="J199" s="256"/>
      <c r="K199" s="256"/>
      <c r="L199" s="256"/>
      <c r="M199" s="256"/>
      <c r="N199" s="256"/>
      <c r="O199" s="256"/>
      <c r="P199" s="264"/>
      <c r="Q199" s="256"/>
    </row>
    <row r="200" spans="1:17" ht="12.75" customHeight="1" x14ac:dyDescent="0.35">
      <c r="A200" s="342"/>
      <c r="B200" s="283"/>
      <c r="C200" s="284"/>
      <c r="D200" s="285" t="s">
        <v>312</v>
      </c>
      <c r="E200" s="256"/>
      <c r="F200" s="256"/>
      <c r="G200" s="256"/>
      <c r="H200" s="256"/>
      <c r="I200" s="256"/>
      <c r="J200" s="256"/>
      <c r="K200" s="256"/>
      <c r="L200" s="256"/>
      <c r="M200" s="256"/>
      <c r="N200" s="256"/>
      <c r="O200" s="256"/>
      <c r="P200" s="264"/>
      <c r="Q200" s="256"/>
    </row>
    <row r="201" spans="1:17" ht="12.75" customHeight="1" x14ac:dyDescent="0.35">
      <c r="A201" s="342"/>
      <c r="B201" s="269"/>
      <c r="C201" s="284"/>
      <c r="D201" s="256"/>
      <c r="E201" s="256"/>
      <c r="F201" s="256"/>
      <c r="G201" s="256"/>
      <c r="H201" s="256"/>
      <c r="I201" s="256"/>
      <c r="J201" s="256"/>
      <c r="K201" s="256"/>
      <c r="L201" s="256"/>
      <c r="M201" s="256"/>
      <c r="N201" s="256"/>
      <c r="O201" s="256"/>
      <c r="P201" s="264"/>
      <c r="Q201" s="256"/>
    </row>
    <row r="202" spans="1:17" ht="12.75" customHeight="1" x14ac:dyDescent="0.35">
      <c r="A202" s="342"/>
      <c r="B202" s="287"/>
      <c r="C202" s="284">
        <f>Questionnaire!B152</f>
        <v>64</v>
      </c>
      <c r="D202" s="288" t="s">
        <v>126</v>
      </c>
      <c r="E202" s="256"/>
      <c r="F202" s="256"/>
      <c r="G202" s="256"/>
      <c r="H202" s="256"/>
      <c r="I202" s="256"/>
      <c r="J202" s="256"/>
      <c r="K202" s="256"/>
      <c r="L202" s="256"/>
      <c r="M202" s="256"/>
      <c r="N202" s="256"/>
      <c r="O202" s="256"/>
      <c r="P202" s="264"/>
      <c r="Q202" s="256"/>
    </row>
    <row r="203" spans="1:17" ht="12.75" customHeight="1" x14ac:dyDescent="0.35">
      <c r="A203" s="342"/>
      <c r="B203" s="269"/>
      <c r="C203" s="343" t="s">
        <v>54</v>
      </c>
      <c r="D203" s="532" t="str">
        <f>CONCATENATE("The number of posts for persons holding formal qualification in librarianship (or an equivalent qualification to deliver a library service) or information science or persons who have completed their qualifying examinations.","  This includes graduates and other trained specialists on the library staff.  ",,"Include posts where it may be preferable but not essential for staff to hold the above mentioned qualifications.  Record those staff whose costs are shown in line ",Questionnaire!B265," - Employee Costs.  Qualified staff holding clerical positions for whatever reason should be included in other staff.")</f>
        <v>The number of posts for persons holding formal qualification in librarianship (or an equivalent qualification to deliver a library service) or information science or persons who have completed their qualifying examinations.  This includes graduates and other trained specialists on the library staff.  Include posts where it may be preferable but not essential for staff to hold the above mentioned qualifications.  Record those staff whose costs are shown in line 101 - Employee Costs.  Qualified staff holding clerical positions for whatever reason should be included in other staff.</v>
      </c>
      <c r="E203" s="532"/>
      <c r="F203" s="532"/>
      <c r="G203" s="532"/>
      <c r="H203" s="532"/>
      <c r="I203" s="532"/>
      <c r="J203" s="532"/>
      <c r="K203" s="532"/>
      <c r="L203" s="532"/>
      <c r="M203" s="532"/>
      <c r="N203" s="532"/>
      <c r="O203" s="532"/>
      <c r="P203" s="264"/>
      <c r="Q203" s="256"/>
    </row>
    <row r="204" spans="1:17" ht="12.75" customHeight="1" x14ac:dyDescent="0.35">
      <c r="A204" s="342"/>
      <c r="B204" s="269"/>
      <c r="C204" s="284"/>
      <c r="D204" s="532"/>
      <c r="E204" s="532"/>
      <c r="F204" s="532"/>
      <c r="G204" s="532"/>
      <c r="H204" s="532"/>
      <c r="I204" s="532"/>
      <c r="J204" s="532"/>
      <c r="K204" s="532"/>
      <c r="L204" s="532"/>
      <c r="M204" s="532"/>
      <c r="N204" s="532"/>
      <c r="O204" s="532"/>
      <c r="P204" s="264"/>
      <c r="Q204" s="256"/>
    </row>
    <row r="205" spans="1:17" ht="12.75" customHeight="1" x14ac:dyDescent="0.35">
      <c r="A205" s="342"/>
      <c r="B205" s="269"/>
      <c r="C205" s="284"/>
      <c r="D205" s="532"/>
      <c r="E205" s="532"/>
      <c r="F205" s="532"/>
      <c r="G205" s="532"/>
      <c r="H205" s="532"/>
      <c r="I205" s="532"/>
      <c r="J205" s="532"/>
      <c r="K205" s="532"/>
      <c r="L205" s="532"/>
      <c r="M205" s="532"/>
      <c r="N205" s="532"/>
      <c r="O205" s="532"/>
      <c r="P205" s="264"/>
      <c r="Q205" s="256"/>
    </row>
    <row r="206" spans="1:17" ht="12.75" customHeight="1" x14ac:dyDescent="0.35">
      <c r="A206" s="342"/>
      <c r="B206" s="269"/>
      <c r="C206" s="284"/>
      <c r="D206" s="532"/>
      <c r="E206" s="532"/>
      <c r="F206" s="532"/>
      <c r="G206" s="532"/>
      <c r="H206" s="532"/>
      <c r="I206" s="532"/>
      <c r="J206" s="532"/>
      <c r="K206" s="532"/>
      <c r="L206" s="532"/>
      <c r="M206" s="532"/>
      <c r="N206" s="532"/>
      <c r="O206" s="532"/>
      <c r="P206" s="264"/>
      <c r="Q206" s="256"/>
    </row>
    <row r="207" spans="1:17" ht="12.75" customHeight="1" x14ac:dyDescent="0.35">
      <c r="A207" s="342"/>
      <c r="B207" s="269"/>
      <c r="C207" s="284"/>
      <c r="D207" s="532"/>
      <c r="E207" s="532"/>
      <c r="F207" s="532"/>
      <c r="G207" s="532"/>
      <c r="H207" s="532"/>
      <c r="I207" s="532"/>
      <c r="J207" s="532"/>
      <c r="K207" s="532"/>
      <c r="L207" s="532"/>
      <c r="M207" s="532"/>
      <c r="N207" s="532"/>
      <c r="O207" s="532"/>
      <c r="P207" s="264"/>
      <c r="Q207" s="256"/>
    </row>
    <row r="208" spans="1:17" ht="12.75" customHeight="1" x14ac:dyDescent="0.35">
      <c r="A208" s="342"/>
      <c r="B208" s="269"/>
      <c r="C208" s="284"/>
      <c r="D208" s="256"/>
      <c r="E208" s="256"/>
      <c r="F208" s="256"/>
      <c r="G208" s="256"/>
      <c r="H208" s="256"/>
      <c r="I208" s="256"/>
      <c r="J208" s="256"/>
      <c r="K208" s="256"/>
      <c r="L208" s="256"/>
      <c r="M208" s="256"/>
      <c r="N208" s="256"/>
      <c r="O208" s="256"/>
      <c r="P208" s="264"/>
      <c r="Q208" s="256"/>
    </row>
    <row r="209" spans="1:17" ht="12.75" customHeight="1" x14ac:dyDescent="0.35">
      <c r="A209" s="342"/>
      <c r="B209" s="287"/>
      <c r="C209" s="284">
        <f>Questionnaire!B153</f>
        <v>65</v>
      </c>
      <c r="D209" s="288" t="s">
        <v>127</v>
      </c>
      <c r="E209" s="256"/>
      <c r="F209" s="256"/>
      <c r="G209" s="256"/>
      <c r="H209" s="256"/>
      <c r="I209" s="256"/>
      <c r="J209" s="256"/>
      <c r="K209" s="256"/>
      <c r="L209" s="256"/>
      <c r="M209" s="256"/>
      <c r="N209" s="256"/>
      <c r="O209" s="256"/>
      <c r="P209" s="264"/>
      <c r="Q209" s="256"/>
    </row>
    <row r="210" spans="1:17" ht="12.75" customHeight="1" x14ac:dyDescent="0.35">
      <c r="A210" s="342"/>
      <c r="B210" s="269"/>
      <c r="C210" s="284"/>
      <c r="D210" s="533" t="s">
        <v>313</v>
      </c>
      <c r="E210" s="533"/>
      <c r="F210" s="533"/>
      <c r="G210" s="533"/>
      <c r="H210" s="533"/>
      <c r="I210" s="533"/>
      <c r="J210" s="533"/>
      <c r="K210" s="533"/>
      <c r="L210" s="533"/>
      <c r="M210" s="533"/>
      <c r="N210" s="533"/>
      <c r="O210" s="533"/>
      <c r="P210" s="264"/>
      <c r="Q210" s="256"/>
    </row>
    <row r="211" spans="1:17" ht="12.75" customHeight="1" x14ac:dyDescent="0.35">
      <c r="A211" s="342"/>
      <c r="B211" s="269"/>
      <c r="C211" s="284"/>
      <c r="D211" s="533"/>
      <c r="E211" s="533"/>
      <c r="F211" s="533"/>
      <c r="G211" s="533"/>
      <c r="H211" s="533"/>
      <c r="I211" s="533"/>
      <c r="J211" s="533"/>
      <c r="K211" s="533"/>
      <c r="L211" s="533"/>
      <c r="M211" s="533"/>
      <c r="N211" s="533"/>
      <c r="O211" s="533"/>
      <c r="P211" s="264"/>
      <c r="Q211" s="256"/>
    </row>
    <row r="212" spans="1:17" ht="12.75" customHeight="1" x14ac:dyDescent="0.35">
      <c r="A212" s="342"/>
      <c r="B212" s="269"/>
      <c r="C212" s="284"/>
      <c r="D212" s="533"/>
      <c r="E212" s="533"/>
      <c r="F212" s="533"/>
      <c r="G212" s="533"/>
      <c r="H212" s="533"/>
      <c r="I212" s="533"/>
      <c r="J212" s="533"/>
      <c r="K212" s="533"/>
      <c r="L212" s="533"/>
      <c r="M212" s="533"/>
      <c r="N212" s="533"/>
      <c r="O212" s="533"/>
      <c r="P212" s="264"/>
      <c r="Q212" s="256"/>
    </row>
    <row r="213" spans="1:17" ht="12.75" customHeight="1" x14ac:dyDescent="0.35">
      <c r="A213" s="342"/>
      <c r="B213" s="269"/>
      <c r="C213" s="284"/>
      <c r="D213" s="533"/>
      <c r="E213" s="533"/>
      <c r="F213" s="533"/>
      <c r="G213" s="533"/>
      <c r="H213" s="533"/>
      <c r="I213" s="533"/>
      <c r="J213" s="533"/>
      <c r="K213" s="533"/>
      <c r="L213" s="533"/>
      <c r="M213" s="533"/>
      <c r="N213" s="533"/>
      <c r="O213" s="533"/>
      <c r="P213" s="264"/>
      <c r="Q213" s="256"/>
    </row>
    <row r="214" spans="1:17" ht="12.75" customHeight="1" x14ac:dyDescent="0.35">
      <c r="A214" s="256"/>
      <c r="B214" s="308"/>
      <c r="C214" s="284"/>
      <c r="D214" s="272"/>
      <c r="E214" s="272"/>
      <c r="F214" s="272"/>
      <c r="G214" s="272"/>
      <c r="H214" s="272"/>
      <c r="I214" s="272"/>
      <c r="J214" s="272"/>
      <c r="K214" s="272"/>
      <c r="L214" s="272"/>
      <c r="M214" s="272"/>
      <c r="N214" s="272"/>
      <c r="O214" s="272"/>
      <c r="P214" s="264"/>
      <c r="Q214" s="256"/>
    </row>
    <row r="215" spans="1:17" ht="12.75" customHeight="1" x14ac:dyDescent="0.35">
      <c r="A215" s="342"/>
      <c r="B215" s="283"/>
      <c r="C215" s="284" t="str">
        <f>CONCATENATE(Questionnaire!B162," &amp; ",Questionnaire!B163)</f>
        <v>67 &amp; 68</v>
      </c>
      <c r="D215" s="285" t="s">
        <v>129</v>
      </c>
      <c r="E215" s="272"/>
      <c r="F215" s="272"/>
      <c r="G215" s="272"/>
      <c r="H215" s="272"/>
      <c r="I215" s="272"/>
      <c r="J215" s="272"/>
      <c r="K215" s="272"/>
      <c r="L215" s="272"/>
      <c r="M215" s="272"/>
      <c r="N215" s="272"/>
      <c r="O215" s="272"/>
      <c r="P215" s="264"/>
      <c r="Q215" s="256"/>
    </row>
    <row r="216" spans="1:17" ht="12.75" customHeight="1" x14ac:dyDescent="0.35">
      <c r="A216" s="342"/>
      <c r="B216" s="283"/>
      <c r="C216" s="284"/>
      <c r="D216" s="285"/>
      <c r="E216" s="272"/>
      <c r="F216" s="272"/>
      <c r="G216" s="272"/>
      <c r="H216" s="272"/>
      <c r="I216" s="272"/>
      <c r="J216" s="272"/>
      <c r="K216" s="272"/>
      <c r="L216" s="272"/>
      <c r="M216" s="272"/>
      <c r="N216" s="272"/>
      <c r="O216" s="272"/>
      <c r="P216" s="264"/>
      <c r="Q216" s="256"/>
    </row>
    <row r="217" spans="1:17" ht="12.75" customHeight="1" x14ac:dyDescent="0.35">
      <c r="A217" s="342"/>
      <c r="B217" s="269"/>
      <c r="C217" s="343" t="s">
        <v>54</v>
      </c>
      <c r="D217" s="533" t="s">
        <v>314</v>
      </c>
      <c r="E217" s="533"/>
      <c r="F217" s="533"/>
      <c r="G217" s="533"/>
      <c r="H217" s="533"/>
      <c r="I217" s="533"/>
      <c r="J217" s="533"/>
      <c r="K217" s="533"/>
      <c r="L217" s="533"/>
      <c r="M217" s="533"/>
      <c r="N217" s="533"/>
      <c r="O217" s="533"/>
      <c r="P217" s="264"/>
      <c r="Q217" s="256"/>
    </row>
    <row r="218" spans="1:17" ht="12.75" customHeight="1" x14ac:dyDescent="0.35">
      <c r="A218" s="342"/>
      <c r="B218" s="269"/>
      <c r="C218" s="284"/>
      <c r="D218" s="533"/>
      <c r="E218" s="533"/>
      <c r="F218" s="533"/>
      <c r="G218" s="533"/>
      <c r="H218" s="533"/>
      <c r="I218" s="533"/>
      <c r="J218" s="533"/>
      <c r="K218" s="533"/>
      <c r="L218" s="533"/>
      <c r="M218" s="533"/>
      <c r="N218" s="533"/>
      <c r="O218" s="533"/>
      <c r="P218" s="264"/>
      <c r="Q218" s="256"/>
    </row>
    <row r="219" spans="1:17" ht="12.75" customHeight="1" x14ac:dyDescent="0.35">
      <c r="A219" s="342"/>
      <c r="B219" s="269"/>
      <c r="C219" s="284"/>
      <c r="D219" s="533"/>
      <c r="E219" s="533"/>
      <c r="F219" s="533"/>
      <c r="G219" s="533"/>
      <c r="H219" s="533"/>
      <c r="I219" s="533"/>
      <c r="J219" s="533"/>
      <c r="K219" s="533"/>
      <c r="L219" s="533"/>
      <c r="M219" s="533"/>
      <c r="N219" s="533"/>
      <c r="O219" s="533"/>
      <c r="P219" s="264"/>
      <c r="Q219" s="256"/>
    </row>
    <row r="220" spans="1:17" ht="12.75" customHeight="1" x14ac:dyDescent="0.35">
      <c r="A220" s="342"/>
      <c r="B220" s="269"/>
      <c r="C220" s="284"/>
      <c r="D220" s="533"/>
      <c r="E220" s="533"/>
      <c r="F220" s="533"/>
      <c r="G220" s="533"/>
      <c r="H220" s="533"/>
      <c r="I220" s="533"/>
      <c r="J220" s="533"/>
      <c r="K220" s="533"/>
      <c r="L220" s="533"/>
      <c r="M220" s="533"/>
      <c r="N220" s="533"/>
      <c r="O220" s="533"/>
      <c r="P220" s="264"/>
      <c r="Q220" s="256"/>
    </row>
    <row r="221" spans="1:17" ht="12.75" customHeight="1" x14ac:dyDescent="0.35">
      <c r="A221" s="342"/>
      <c r="B221" s="269"/>
      <c r="C221" s="284"/>
      <c r="D221" s="533"/>
      <c r="E221" s="533"/>
      <c r="F221" s="533"/>
      <c r="G221" s="533"/>
      <c r="H221" s="533"/>
      <c r="I221" s="533"/>
      <c r="J221" s="533"/>
      <c r="K221" s="533"/>
      <c r="L221" s="533"/>
      <c r="M221" s="533"/>
      <c r="N221" s="533"/>
      <c r="O221" s="533"/>
      <c r="P221" s="264"/>
      <c r="Q221" s="256"/>
    </row>
    <row r="222" spans="1:17" ht="12.75" customHeight="1" x14ac:dyDescent="0.35">
      <c r="A222" s="342"/>
      <c r="B222" s="269"/>
      <c r="C222" s="284"/>
      <c r="D222" s="533"/>
      <c r="E222" s="533"/>
      <c r="F222" s="533"/>
      <c r="G222" s="533"/>
      <c r="H222" s="533"/>
      <c r="I222" s="533"/>
      <c r="J222" s="533"/>
      <c r="K222" s="533"/>
      <c r="L222" s="533"/>
      <c r="M222" s="533"/>
      <c r="N222" s="533"/>
      <c r="O222" s="533"/>
      <c r="P222" s="264"/>
      <c r="Q222" s="256"/>
    </row>
    <row r="223" spans="1:17" ht="12.75" customHeight="1" x14ac:dyDescent="0.35">
      <c r="A223" s="342"/>
      <c r="B223" s="269"/>
      <c r="C223" s="284"/>
      <c r="D223" s="533"/>
      <c r="E223" s="533"/>
      <c r="F223" s="533"/>
      <c r="G223" s="533"/>
      <c r="H223" s="533"/>
      <c r="I223" s="533"/>
      <c r="J223" s="533"/>
      <c r="K223" s="533"/>
      <c r="L223" s="533"/>
      <c r="M223" s="533"/>
      <c r="N223" s="533"/>
      <c r="O223" s="533"/>
      <c r="P223" s="264"/>
      <c r="Q223" s="256"/>
    </row>
    <row r="224" spans="1:17" ht="18" customHeight="1" thickBot="1" x14ac:dyDescent="0.4">
      <c r="A224" s="256"/>
      <c r="B224" s="289"/>
      <c r="C224" s="290"/>
      <c r="D224" s="311"/>
      <c r="E224" s="311"/>
      <c r="F224" s="311"/>
      <c r="G224" s="311"/>
      <c r="H224" s="311"/>
      <c r="I224" s="311"/>
      <c r="J224" s="311"/>
      <c r="K224" s="311"/>
      <c r="L224" s="311"/>
      <c r="M224" s="311"/>
      <c r="N224" s="311"/>
      <c r="O224" s="311"/>
      <c r="P224" s="292"/>
      <c r="Q224" s="256"/>
    </row>
    <row r="225" spans="1:17" ht="5.25" customHeight="1" x14ac:dyDescent="0.35">
      <c r="A225" s="256"/>
      <c r="B225" s="293"/>
      <c r="C225" s="294"/>
      <c r="D225" s="295"/>
      <c r="E225" s="295"/>
      <c r="F225" s="295"/>
      <c r="G225" s="295"/>
      <c r="H225" s="295"/>
      <c r="I225" s="295"/>
      <c r="J225" s="295"/>
      <c r="K225" s="295"/>
      <c r="L225" s="295"/>
      <c r="M225" s="295"/>
      <c r="N225" s="295"/>
      <c r="O225" s="295"/>
      <c r="P225" s="296"/>
      <c r="Q225" s="256"/>
    </row>
    <row r="226" spans="1:17" ht="12.75" customHeight="1" x14ac:dyDescent="0.35">
      <c r="A226" s="342"/>
      <c r="B226" s="283"/>
      <c r="C226" s="284"/>
      <c r="D226" s="285" t="s">
        <v>131</v>
      </c>
      <c r="E226" s="256"/>
      <c r="F226" s="256"/>
      <c r="G226" s="256"/>
      <c r="H226" s="256"/>
      <c r="I226" s="256"/>
      <c r="J226" s="256"/>
      <c r="K226" s="256"/>
      <c r="L226" s="256"/>
      <c r="M226" s="256"/>
      <c r="N226" s="256"/>
      <c r="O226" s="256"/>
      <c r="P226" s="264"/>
      <c r="Q226" s="256"/>
    </row>
    <row r="227" spans="1:17" ht="12.75" customHeight="1" x14ac:dyDescent="0.35">
      <c r="A227" s="342"/>
      <c r="B227" s="269"/>
      <c r="C227" s="284"/>
      <c r="D227" s="256"/>
      <c r="E227" s="256"/>
      <c r="F227" s="256"/>
      <c r="G227" s="256"/>
      <c r="H227" s="256"/>
      <c r="I227" s="256"/>
      <c r="J227" s="256"/>
      <c r="K227" s="256"/>
      <c r="L227" s="256"/>
      <c r="M227" s="256"/>
      <c r="N227" s="256"/>
      <c r="O227" s="256"/>
      <c r="P227" s="264"/>
      <c r="Q227" s="256"/>
    </row>
    <row r="228" spans="1:17" ht="12.75" customHeight="1" x14ac:dyDescent="0.35">
      <c r="A228" s="342"/>
      <c r="B228" s="287"/>
      <c r="C228" s="284" t="str">
        <f>CONCATENATE(Questionnaire!B168," to ",Questionnaire!B182)</f>
        <v>69 to 77</v>
      </c>
      <c r="D228" s="288" t="s">
        <v>315</v>
      </c>
      <c r="E228" s="256"/>
      <c r="F228" s="256"/>
      <c r="G228" s="256"/>
      <c r="H228" s="256"/>
      <c r="I228" s="256"/>
      <c r="J228" s="256"/>
      <c r="K228" s="256"/>
      <c r="L228" s="256"/>
      <c r="M228" s="256"/>
      <c r="N228" s="256"/>
      <c r="O228" s="256"/>
      <c r="P228" s="264"/>
      <c r="Q228" s="256"/>
    </row>
    <row r="229" spans="1:17" ht="12.75" customHeight="1" x14ac:dyDescent="0.35">
      <c r="A229" s="342"/>
      <c r="B229" s="269"/>
      <c r="C229" s="343" t="s">
        <v>54</v>
      </c>
      <c r="D229" s="533" t="s">
        <v>316</v>
      </c>
      <c r="E229" s="533"/>
      <c r="F229" s="533"/>
      <c r="G229" s="533"/>
      <c r="H229" s="533"/>
      <c r="I229" s="533"/>
      <c r="J229" s="533"/>
      <c r="K229" s="533"/>
      <c r="L229" s="533"/>
      <c r="M229" s="533"/>
      <c r="N229" s="533"/>
      <c r="O229" s="533"/>
      <c r="P229" s="264"/>
      <c r="Q229" s="256"/>
    </row>
    <row r="230" spans="1:17" ht="12.75" customHeight="1" x14ac:dyDescent="0.35">
      <c r="A230" s="342"/>
      <c r="B230" s="269"/>
      <c r="C230" s="284"/>
      <c r="D230" s="533"/>
      <c r="E230" s="533"/>
      <c r="F230" s="533"/>
      <c r="G230" s="533"/>
      <c r="H230" s="533"/>
      <c r="I230" s="533"/>
      <c r="J230" s="533"/>
      <c r="K230" s="533"/>
      <c r="L230" s="533"/>
      <c r="M230" s="533"/>
      <c r="N230" s="533"/>
      <c r="O230" s="533"/>
      <c r="P230" s="264"/>
      <c r="Q230" s="256"/>
    </row>
    <row r="231" spans="1:17" ht="38.25" customHeight="1" x14ac:dyDescent="0.35">
      <c r="A231" s="342"/>
      <c r="B231" s="269"/>
      <c r="C231" s="284"/>
      <c r="D231" s="256"/>
      <c r="E231" s="256"/>
      <c r="F231" s="256"/>
      <c r="G231" s="256"/>
      <c r="H231" s="256"/>
      <c r="I231" s="256"/>
      <c r="J231" s="256"/>
      <c r="K231" s="256"/>
      <c r="L231" s="256"/>
      <c r="M231" s="256"/>
      <c r="N231" s="256"/>
      <c r="O231" s="256"/>
      <c r="P231" s="264"/>
      <c r="Q231" s="256"/>
    </row>
    <row r="232" spans="1:17" ht="12.75" customHeight="1" x14ac:dyDescent="0.35">
      <c r="A232" s="342"/>
      <c r="B232" s="269"/>
      <c r="C232" s="284"/>
      <c r="D232" s="256" t="s">
        <v>317</v>
      </c>
      <c r="E232" s="256"/>
      <c r="F232" s="256"/>
      <c r="G232" s="256"/>
      <c r="H232" s="256"/>
      <c r="I232" s="256"/>
      <c r="J232" s="256"/>
      <c r="K232" s="256"/>
      <c r="L232" s="256"/>
      <c r="M232" s="256"/>
      <c r="N232" s="256"/>
      <c r="O232" s="256"/>
      <c r="P232" s="264"/>
      <c r="Q232" s="256"/>
    </row>
    <row r="233" spans="1:17" ht="12.75" customHeight="1" x14ac:dyDescent="0.35">
      <c r="A233" s="342"/>
      <c r="B233" s="269"/>
      <c r="C233" s="284"/>
      <c r="D233" s="256"/>
      <c r="E233" s="256"/>
      <c r="F233" s="256"/>
      <c r="G233" s="256"/>
      <c r="H233" s="256"/>
      <c r="I233" s="256"/>
      <c r="J233" s="256"/>
      <c r="K233" s="256"/>
      <c r="L233" s="256"/>
      <c r="M233" s="256"/>
      <c r="N233" s="256"/>
      <c r="O233" s="256"/>
      <c r="P233" s="264"/>
      <c r="Q233" s="256"/>
    </row>
    <row r="234" spans="1:17" ht="12.75" customHeight="1" x14ac:dyDescent="0.35">
      <c r="A234" s="342"/>
      <c r="B234" s="269"/>
      <c r="C234" s="284"/>
      <c r="D234" s="256" t="s">
        <v>46</v>
      </c>
      <c r="E234" s="533" t="s">
        <v>318</v>
      </c>
      <c r="F234" s="533"/>
      <c r="G234" s="533"/>
      <c r="H234" s="533"/>
      <c r="I234" s="533"/>
      <c r="J234" s="533"/>
      <c r="K234" s="533"/>
      <c r="L234" s="533"/>
      <c r="M234" s="533"/>
      <c r="N234" s="533"/>
      <c r="O234" s="533"/>
      <c r="P234" s="264"/>
      <c r="Q234" s="256"/>
    </row>
    <row r="235" spans="1:17" ht="12.75" customHeight="1" x14ac:dyDescent="0.35">
      <c r="A235" s="342"/>
      <c r="B235" s="269"/>
      <c r="C235" s="284"/>
      <c r="D235" s="256"/>
      <c r="E235" s="533"/>
      <c r="F235" s="533"/>
      <c r="G235" s="533"/>
      <c r="H235" s="533"/>
      <c r="I235" s="533"/>
      <c r="J235" s="533"/>
      <c r="K235" s="533"/>
      <c r="L235" s="533"/>
      <c r="M235" s="533"/>
      <c r="N235" s="533"/>
      <c r="O235" s="533"/>
      <c r="P235" s="264"/>
      <c r="Q235" s="256"/>
    </row>
    <row r="236" spans="1:17" ht="17.5" customHeight="1" x14ac:dyDescent="0.35">
      <c r="A236" s="342"/>
      <c r="B236" s="269"/>
      <c r="C236" s="284"/>
      <c r="D236" s="256" t="s">
        <v>47</v>
      </c>
      <c r="E236" s="533" t="s">
        <v>319</v>
      </c>
      <c r="F236" s="533"/>
      <c r="G236" s="533"/>
      <c r="H236" s="533"/>
      <c r="I236" s="533"/>
      <c r="J236" s="533"/>
      <c r="K236" s="533"/>
      <c r="L236" s="533"/>
      <c r="M236" s="533"/>
      <c r="N236" s="533"/>
      <c r="O236" s="533"/>
      <c r="P236" s="264"/>
      <c r="Q236" s="256"/>
    </row>
    <row r="237" spans="1:17" ht="12.75" customHeight="1" x14ac:dyDescent="0.35">
      <c r="A237" s="342"/>
      <c r="B237" s="269"/>
      <c r="C237" s="284"/>
      <c r="D237" s="256"/>
      <c r="E237" s="533"/>
      <c r="F237" s="533"/>
      <c r="G237" s="533"/>
      <c r="H237" s="533"/>
      <c r="I237" s="533"/>
      <c r="J237" s="533"/>
      <c r="K237" s="533"/>
      <c r="L237" s="533"/>
      <c r="M237" s="533"/>
      <c r="N237" s="533"/>
      <c r="O237" s="533"/>
      <c r="P237" s="264"/>
      <c r="Q237" s="256"/>
    </row>
    <row r="238" spans="1:17" ht="12.75" customHeight="1" x14ac:dyDescent="0.35">
      <c r="A238" s="342"/>
      <c r="B238" s="269"/>
      <c r="C238" s="284"/>
      <c r="D238" s="256" t="s">
        <v>48</v>
      </c>
      <c r="E238" s="256" t="s">
        <v>320</v>
      </c>
      <c r="F238" s="257"/>
      <c r="G238" s="257"/>
      <c r="H238" s="257"/>
      <c r="I238" s="257"/>
      <c r="J238" s="257"/>
      <c r="K238" s="257"/>
      <c r="L238" s="257"/>
      <c r="M238" s="257"/>
      <c r="N238" s="257"/>
      <c r="O238" s="257"/>
      <c r="P238" s="264"/>
      <c r="Q238" s="256"/>
    </row>
    <row r="239" spans="1:17" ht="12.75" customHeight="1" x14ac:dyDescent="0.35">
      <c r="A239" s="342"/>
      <c r="B239" s="269"/>
      <c r="C239" s="284"/>
      <c r="D239" s="256"/>
      <c r="E239" s="256"/>
      <c r="F239" s="256"/>
      <c r="G239" s="256"/>
      <c r="H239" s="256"/>
      <c r="I239" s="256"/>
      <c r="J239" s="256"/>
      <c r="K239" s="256"/>
      <c r="L239" s="256"/>
      <c r="M239" s="256"/>
      <c r="N239" s="256"/>
      <c r="O239" s="256"/>
      <c r="P239" s="264"/>
      <c r="Q239" s="256"/>
    </row>
    <row r="240" spans="1:17" ht="12.75" customHeight="1" x14ac:dyDescent="0.35">
      <c r="A240" s="342"/>
      <c r="B240" s="269"/>
      <c r="C240" s="284"/>
      <c r="D240" s="256" t="s">
        <v>321</v>
      </c>
      <c r="E240" s="256"/>
      <c r="F240" s="256"/>
      <c r="G240" s="256"/>
      <c r="H240" s="256"/>
      <c r="I240" s="256"/>
      <c r="J240" s="256"/>
      <c r="K240" s="256"/>
      <c r="L240" s="256"/>
      <c r="M240" s="256"/>
      <c r="N240" s="256"/>
      <c r="O240" s="256"/>
      <c r="P240" s="264"/>
      <c r="Q240" s="256"/>
    </row>
    <row r="241" spans="1:17" ht="12.75" customHeight="1" x14ac:dyDescent="0.35">
      <c r="A241" s="342"/>
      <c r="B241" s="269"/>
      <c r="C241" s="284"/>
      <c r="D241" s="256"/>
      <c r="E241" s="256"/>
      <c r="F241" s="256"/>
      <c r="G241" s="256"/>
      <c r="H241" s="256"/>
      <c r="I241" s="256"/>
      <c r="J241" s="256"/>
      <c r="K241" s="256"/>
      <c r="L241" s="256"/>
      <c r="M241" s="256"/>
      <c r="N241" s="256"/>
      <c r="O241" s="256"/>
      <c r="P241" s="264"/>
      <c r="Q241" s="256"/>
    </row>
    <row r="242" spans="1:17" ht="12.75" customHeight="1" x14ac:dyDescent="0.35">
      <c r="A242" s="342"/>
      <c r="B242" s="269"/>
      <c r="C242" s="284"/>
      <c r="D242" s="256" t="s">
        <v>46</v>
      </c>
      <c r="E242" s="256" t="s">
        <v>322</v>
      </c>
      <c r="F242" s="256"/>
      <c r="G242" s="256"/>
      <c r="H242" s="256"/>
      <c r="I242" s="256"/>
      <c r="J242" s="256"/>
      <c r="K242" s="256"/>
      <c r="L242" s="256"/>
      <c r="M242" s="256"/>
      <c r="N242" s="256"/>
      <c r="O242" s="256"/>
      <c r="P242" s="264"/>
      <c r="Q242" s="256"/>
    </row>
    <row r="243" spans="1:17" ht="12.75" customHeight="1" x14ac:dyDescent="0.35">
      <c r="A243" s="342"/>
      <c r="B243" s="269"/>
      <c r="C243" s="284"/>
      <c r="D243" s="256" t="s">
        <v>47</v>
      </c>
      <c r="E243" s="256" t="s">
        <v>323</v>
      </c>
      <c r="F243" s="256"/>
      <c r="G243" s="256"/>
      <c r="H243" s="256"/>
      <c r="I243" s="256"/>
      <c r="J243" s="256"/>
      <c r="K243" s="256"/>
      <c r="L243" s="256"/>
      <c r="M243" s="256"/>
      <c r="N243" s="256"/>
      <c r="O243" s="256"/>
      <c r="P243" s="264"/>
      <c r="Q243" s="256"/>
    </row>
    <row r="244" spans="1:17" ht="12.75" customHeight="1" x14ac:dyDescent="0.35">
      <c r="A244" s="342"/>
      <c r="B244" s="269"/>
      <c r="C244" s="284"/>
      <c r="D244" s="256"/>
      <c r="E244" s="256"/>
      <c r="F244" s="256"/>
      <c r="G244" s="256"/>
      <c r="H244" s="256"/>
      <c r="I244" s="256"/>
      <c r="J244" s="256"/>
      <c r="K244" s="256"/>
      <c r="L244" s="256"/>
      <c r="M244" s="256"/>
      <c r="N244" s="256"/>
      <c r="O244" s="256"/>
      <c r="P244" s="264"/>
      <c r="Q244" s="256"/>
    </row>
    <row r="245" spans="1:17" ht="12.75" customHeight="1" x14ac:dyDescent="0.35">
      <c r="A245" s="342"/>
      <c r="B245" s="287"/>
      <c r="C245" s="284" t="str">
        <f>CONCATENATE(Questionnaire!B188," to ",Questionnaire!B193)</f>
        <v>78 to 83</v>
      </c>
      <c r="D245" s="288" t="s">
        <v>324</v>
      </c>
      <c r="E245" s="288"/>
      <c r="F245" s="288"/>
      <c r="G245" s="288"/>
      <c r="H245" s="288"/>
      <c r="I245" s="256"/>
      <c r="J245" s="256"/>
      <c r="K245" s="256"/>
      <c r="L245" s="256"/>
      <c r="M245" s="256"/>
      <c r="N245" s="256"/>
      <c r="O245" s="256"/>
      <c r="P245" s="264"/>
      <c r="Q245" s="256"/>
    </row>
    <row r="246" spans="1:17" ht="12.75" customHeight="1" x14ac:dyDescent="0.2">
      <c r="A246" s="342"/>
      <c r="B246" s="269"/>
      <c r="C246" s="354">
        <v>78</v>
      </c>
      <c r="D246" s="256" t="s">
        <v>325</v>
      </c>
      <c r="E246" s="256"/>
      <c r="F246" s="256"/>
      <c r="G246" s="256"/>
      <c r="H246" s="256"/>
      <c r="I246" s="256"/>
      <c r="J246" s="256"/>
      <c r="K246" s="256"/>
      <c r="L246" s="256"/>
      <c r="M246" s="256"/>
      <c r="N246" s="256"/>
      <c r="O246" s="256"/>
      <c r="P246" s="264"/>
      <c r="Q246" s="256"/>
    </row>
    <row r="247" spans="1:17" ht="12.75" customHeight="1" x14ac:dyDescent="0.2">
      <c r="A247" s="342"/>
      <c r="B247" s="269"/>
      <c r="C247" s="354">
        <v>79</v>
      </c>
      <c r="D247" s="256" t="s">
        <v>326</v>
      </c>
      <c r="E247" s="256"/>
      <c r="F247" s="256"/>
      <c r="G247" s="256"/>
      <c r="H247" s="256"/>
      <c r="I247" s="256"/>
      <c r="J247" s="256"/>
      <c r="K247" s="256"/>
      <c r="L247" s="256"/>
      <c r="M247" s="256"/>
      <c r="N247" s="256"/>
      <c r="O247" s="256"/>
      <c r="P247" s="264"/>
      <c r="Q247" s="256"/>
    </row>
    <row r="248" spans="1:17" ht="12.75" customHeight="1" x14ac:dyDescent="0.2">
      <c r="A248" s="342"/>
      <c r="B248" s="269"/>
      <c r="C248" s="354">
        <v>80</v>
      </c>
      <c r="D248" s="256" t="s">
        <v>327</v>
      </c>
      <c r="E248" s="256"/>
      <c r="F248" s="256"/>
      <c r="G248" s="256"/>
      <c r="H248" s="256"/>
      <c r="I248" s="256"/>
      <c r="J248" s="256"/>
      <c r="K248" s="256"/>
      <c r="L248" s="256"/>
      <c r="M248" s="256"/>
      <c r="N248" s="256"/>
      <c r="O248" s="256"/>
      <c r="P248" s="264"/>
      <c r="Q248" s="256"/>
    </row>
    <row r="249" spans="1:17" ht="12.75" customHeight="1" x14ac:dyDescent="0.2">
      <c r="A249" s="256"/>
      <c r="B249" s="269"/>
      <c r="C249" s="354">
        <v>81</v>
      </c>
      <c r="D249" s="256" t="s">
        <v>328</v>
      </c>
      <c r="E249" s="257"/>
      <c r="F249" s="257"/>
      <c r="G249" s="257"/>
      <c r="H249" s="257"/>
      <c r="I249" s="257"/>
      <c r="J249" s="257"/>
      <c r="K249" s="257"/>
      <c r="L249" s="257"/>
      <c r="M249" s="257"/>
      <c r="N249" s="257"/>
      <c r="O249" s="257"/>
      <c r="P249" s="264"/>
      <c r="Q249" s="256"/>
    </row>
    <row r="250" spans="1:17" ht="12.75" customHeight="1" x14ac:dyDescent="0.2">
      <c r="A250" s="256"/>
      <c r="B250" s="269"/>
      <c r="C250" s="354">
        <v>82</v>
      </c>
      <c r="D250" s="256" t="s">
        <v>329</v>
      </c>
      <c r="E250" s="257"/>
      <c r="F250" s="257"/>
      <c r="G250" s="257"/>
      <c r="H250" s="257"/>
      <c r="I250" s="257"/>
      <c r="J250" s="257"/>
      <c r="K250" s="257"/>
      <c r="L250" s="257"/>
      <c r="M250" s="257"/>
      <c r="N250" s="257"/>
      <c r="O250" s="257"/>
      <c r="P250" s="264"/>
      <c r="Q250" s="256"/>
    </row>
    <row r="251" spans="1:17" ht="12.75" customHeight="1" x14ac:dyDescent="0.35">
      <c r="A251" s="256"/>
      <c r="B251" s="310"/>
      <c r="C251" s="284">
        <f>Questionnaire!B193</f>
        <v>83</v>
      </c>
      <c r="D251" s="256" t="s">
        <v>330</v>
      </c>
      <c r="E251" s="257"/>
      <c r="F251" s="257"/>
      <c r="G251" s="257"/>
      <c r="H251" s="257"/>
      <c r="I251" s="257"/>
      <c r="J251" s="257"/>
      <c r="K251" s="257"/>
      <c r="L251" s="257"/>
      <c r="M251" s="257"/>
      <c r="N251" s="257"/>
      <c r="O251" s="257"/>
      <c r="P251" s="264"/>
      <c r="Q251" s="256"/>
    </row>
    <row r="252" spans="1:17" ht="12.75" customHeight="1" x14ac:dyDescent="0.35">
      <c r="A252" s="256"/>
      <c r="B252" s="310"/>
      <c r="C252" s="284"/>
      <c r="D252" s="545"/>
      <c r="E252" s="545"/>
      <c r="F252" s="545"/>
      <c r="G252" s="545"/>
      <c r="H252" s="545"/>
      <c r="I252" s="545"/>
      <c r="J252" s="545"/>
      <c r="K252" s="545"/>
      <c r="L252" s="545"/>
      <c r="M252" s="545"/>
      <c r="N252" s="545"/>
      <c r="O252" s="545"/>
      <c r="P252" s="264"/>
      <c r="Q252" s="256"/>
    </row>
    <row r="253" spans="1:17" ht="12.75" customHeight="1" x14ac:dyDescent="0.35">
      <c r="A253" s="342"/>
      <c r="B253" s="283"/>
      <c r="C253" s="284"/>
      <c r="D253" s="285" t="s">
        <v>142</v>
      </c>
      <c r="E253" s="256"/>
      <c r="F253" s="256"/>
      <c r="G253" s="256"/>
      <c r="H253" s="256"/>
      <c r="I253" s="256"/>
      <c r="J253" s="256"/>
      <c r="K253" s="256"/>
      <c r="L253" s="256"/>
      <c r="M253" s="256"/>
      <c r="N253" s="256"/>
      <c r="O253" s="256"/>
      <c r="P253" s="264"/>
      <c r="Q253" s="256"/>
    </row>
    <row r="254" spans="1:17" ht="12.75" customHeight="1" x14ac:dyDescent="0.35">
      <c r="A254" s="342"/>
      <c r="B254" s="287"/>
      <c r="C254" s="284"/>
      <c r="D254" s="288"/>
      <c r="E254" s="256"/>
      <c r="F254" s="256"/>
      <c r="G254" s="256"/>
      <c r="H254" s="256"/>
      <c r="I254" s="256"/>
      <c r="J254" s="256"/>
      <c r="K254" s="256"/>
      <c r="L254" s="256"/>
      <c r="M254" s="256"/>
      <c r="N254" s="256"/>
      <c r="O254" s="256"/>
      <c r="P254" s="264"/>
      <c r="Q254" s="256"/>
    </row>
    <row r="255" spans="1:17" ht="12.75" customHeight="1" x14ac:dyDescent="0.35">
      <c r="A255" s="342"/>
      <c r="B255" s="287"/>
      <c r="C255" s="284">
        <f>Questionnaire!B198</f>
        <v>84</v>
      </c>
      <c r="D255" s="288" t="s">
        <v>331</v>
      </c>
      <c r="E255" s="256"/>
      <c r="F255" s="256"/>
      <c r="G255" s="256"/>
      <c r="H255" s="256"/>
      <c r="I255" s="256"/>
      <c r="J255" s="256"/>
      <c r="K255" s="256"/>
      <c r="L255" s="256"/>
      <c r="M255" s="256"/>
      <c r="N255" s="256"/>
      <c r="O255" s="256"/>
      <c r="P255" s="264"/>
      <c r="Q255" s="256"/>
    </row>
    <row r="256" spans="1:17" ht="12.75" customHeight="1" x14ac:dyDescent="0.35">
      <c r="A256" s="342"/>
      <c r="B256" s="269"/>
      <c r="C256" s="284"/>
      <c r="D256" s="532" t="str">
        <f>CONCATENATE("This is to cover the items not immediately available from the shelves which are reserved by author/title.  Non-book reservations should also be included.  Requests for information are counted in line ",Questionnaire!B213," (Number of Enquiries).  The items requested (or reserved) not those supplied are to be counted.  Libraries must count the total number of requests received from customers for individual items.  ",,"NB.  includes books not published at the time the request is made.")</f>
        <v>This is to cover the items not immediately available from the shelves which are reserved by author/title.  Non-book reservations should also be included.  Requests for information are counted in line 89 (Number of Enquiries).  The items requested (or reserved) not those supplied are to be counted.  Libraries must count the total number of requests received from customers for individual items.  NB.  includes books not published at the time the request is made.</v>
      </c>
      <c r="E256" s="532"/>
      <c r="F256" s="532"/>
      <c r="G256" s="532"/>
      <c r="H256" s="532"/>
      <c r="I256" s="532"/>
      <c r="J256" s="532"/>
      <c r="K256" s="532"/>
      <c r="L256" s="532"/>
      <c r="M256" s="532"/>
      <c r="N256" s="532"/>
      <c r="O256" s="532"/>
      <c r="P256" s="264"/>
      <c r="Q256" s="256"/>
    </row>
    <row r="257" spans="1:17" ht="12.75" customHeight="1" x14ac:dyDescent="0.35">
      <c r="A257" s="342"/>
      <c r="B257" s="269"/>
      <c r="C257" s="284"/>
      <c r="D257" s="532"/>
      <c r="E257" s="532"/>
      <c r="F257" s="532"/>
      <c r="G257" s="532"/>
      <c r="H257" s="532"/>
      <c r="I257" s="532"/>
      <c r="J257" s="532"/>
      <c r="K257" s="532"/>
      <c r="L257" s="532"/>
      <c r="M257" s="532"/>
      <c r="N257" s="532"/>
      <c r="O257" s="532"/>
      <c r="P257" s="264"/>
      <c r="Q257" s="256"/>
    </row>
    <row r="258" spans="1:17" ht="12.75" customHeight="1" x14ac:dyDescent="0.35">
      <c r="A258" s="342"/>
      <c r="B258" s="269"/>
      <c r="C258" s="284"/>
      <c r="D258" s="532"/>
      <c r="E258" s="532"/>
      <c r="F258" s="532"/>
      <c r="G258" s="532"/>
      <c r="H258" s="532"/>
      <c r="I258" s="532"/>
      <c r="J258" s="532"/>
      <c r="K258" s="532"/>
      <c r="L258" s="532"/>
      <c r="M258" s="532"/>
      <c r="N258" s="532"/>
      <c r="O258" s="532"/>
      <c r="P258" s="264"/>
      <c r="Q258" s="256"/>
    </row>
    <row r="259" spans="1:17" ht="12.75" customHeight="1" x14ac:dyDescent="0.35">
      <c r="A259" s="342"/>
      <c r="B259" s="269"/>
      <c r="C259" s="284"/>
      <c r="D259" s="532"/>
      <c r="E259" s="532"/>
      <c r="F259" s="532"/>
      <c r="G259" s="532"/>
      <c r="H259" s="532"/>
      <c r="I259" s="532"/>
      <c r="J259" s="532"/>
      <c r="K259" s="532"/>
      <c r="L259" s="532"/>
      <c r="M259" s="532"/>
      <c r="N259" s="532"/>
      <c r="O259" s="532"/>
      <c r="P259" s="264"/>
      <c r="Q259" s="256"/>
    </row>
    <row r="260" spans="1:17" ht="12.75" customHeight="1" x14ac:dyDescent="0.35">
      <c r="A260" s="342"/>
      <c r="B260" s="269"/>
      <c r="C260" s="284"/>
      <c r="D260" s="532"/>
      <c r="E260" s="532"/>
      <c r="F260" s="532"/>
      <c r="G260" s="532"/>
      <c r="H260" s="532"/>
      <c r="I260" s="532"/>
      <c r="J260" s="532"/>
      <c r="K260" s="532"/>
      <c r="L260" s="532"/>
      <c r="M260" s="532"/>
      <c r="N260" s="532"/>
      <c r="O260" s="532"/>
      <c r="P260" s="264"/>
      <c r="Q260" s="256"/>
    </row>
    <row r="261" spans="1:17" ht="12.75" customHeight="1" x14ac:dyDescent="0.35">
      <c r="A261" s="342"/>
      <c r="B261" s="312"/>
      <c r="C261" s="284"/>
      <c r="D261" s="286"/>
      <c r="E261" s="286"/>
      <c r="F261" s="286"/>
      <c r="G261" s="286"/>
      <c r="H261" s="286"/>
      <c r="I261" s="286"/>
      <c r="J261" s="286"/>
      <c r="K261" s="286"/>
      <c r="L261" s="286"/>
      <c r="M261" s="286"/>
      <c r="N261" s="286"/>
      <c r="O261" s="286"/>
      <c r="P261" s="264"/>
      <c r="Q261" s="256"/>
    </row>
    <row r="262" spans="1:17" ht="12.75" customHeight="1" x14ac:dyDescent="0.35">
      <c r="A262" s="342"/>
      <c r="B262" s="269"/>
      <c r="C262" s="284">
        <f>Questionnaire!B200</f>
        <v>85</v>
      </c>
      <c r="D262" s="288" t="s">
        <v>144</v>
      </c>
      <c r="E262" s="256"/>
      <c r="F262" s="256"/>
      <c r="G262" s="256"/>
      <c r="H262" s="256"/>
      <c r="I262" s="256"/>
      <c r="J262" s="256"/>
      <c r="K262" s="256"/>
      <c r="L262" s="256"/>
      <c r="M262" s="265"/>
      <c r="N262" s="265"/>
      <c r="O262" s="265"/>
      <c r="P262" s="264"/>
      <c r="Q262" s="256"/>
    </row>
    <row r="263" spans="1:17" ht="12.75" customHeight="1" x14ac:dyDescent="0.35">
      <c r="A263" s="342"/>
      <c r="B263" s="269"/>
      <c r="C263" s="284"/>
      <c r="D263" s="533" t="s">
        <v>332</v>
      </c>
      <c r="E263" s="533"/>
      <c r="F263" s="533"/>
      <c r="G263" s="533"/>
      <c r="H263" s="533"/>
      <c r="I263" s="533"/>
      <c r="J263" s="533"/>
      <c r="K263" s="533"/>
      <c r="L263" s="533"/>
      <c r="M263" s="533"/>
      <c r="N263" s="533"/>
      <c r="O263" s="533"/>
      <c r="P263" s="264"/>
      <c r="Q263" s="256"/>
    </row>
    <row r="264" spans="1:17" ht="12.75" customHeight="1" x14ac:dyDescent="0.35">
      <c r="A264" s="342"/>
      <c r="B264" s="269"/>
      <c r="C264" s="284"/>
      <c r="D264" s="533"/>
      <c r="E264" s="533"/>
      <c r="F264" s="533"/>
      <c r="G264" s="533"/>
      <c r="H264" s="533"/>
      <c r="I264" s="533"/>
      <c r="J264" s="533"/>
      <c r="K264" s="533"/>
      <c r="L264" s="533"/>
      <c r="M264" s="533"/>
      <c r="N264" s="533"/>
      <c r="O264" s="533"/>
      <c r="P264" s="264"/>
      <c r="Q264" s="256"/>
    </row>
    <row r="265" spans="1:17" ht="12.75" customHeight="1" x14ac:dyDescent="0.35">
      <c r="A265" s="342"/>
      <c r="B265" s="313"/>
      <c r="C265" s="284"/>
      <c r="D265" s="257"/>
      <c r="E265" s="257"/>
      <c r="F265" s="257"/>
      <c r="G265" s="257"/>
      <c r="H265" s="257"/>
      <c r="I265" s="257"/>
      <c r="J265" s="257"/>
      <c r="K265" s="257"/>
      <c r="L265" s="257"/>
      <c r="M265" s="257"/>
      <c r="N265" s="257"/>
      <c r="O265" s="257"/>
      <c r="P265" s="264"/>
      <c r="Q265" s="256"/>
    </row>
    <row r="266" spans="1:17" ht="12.75" customHeight="1" x14ac:dyDescent="0.35">
      <c r="A266" s="342"/>
      <c r="B266" s="269"/>
      <c r="C266" s="284" t="str">
        <f>CONCATENATE(Questionnaire!B203," to ",Questionnaire!B207)</f>
        <v>86 to 88</v>
      </c>
      <c r="D266" s="540" t="s">
        <v>333</v>
      </c>
      <c r="E266" s="540"/>
      <c r="F266" s="540"/>
      <c r="G266" s="540"/>
      <c r="H266" s="540"/>
      <c r="I266" s="540"/>
      <c r="J266" s="540"/>
      <c r="K266" s="540"/>
      <c r="L266" s="540"/>
      <c r="M266" s="540"/>
      <c r="N266" s="540"/>
      <c r="O266" s="540"/>
      <c r="P266" s="264"/>
      <c r="Q266" s="256"/>
    </row>
    <row r="267" spans="1:17" ht="12.75" customHeight="1" x14ac:dyDescent="0.35">
      <c r="A267" s="342"/>
      <c r="B267" s="269"/>
      <c r="C267" s="284"/>
      <c r="D267" s="540"/>
      <c r="E267" s="540"/>
      <c r="F267" s="540"/>
      <c r="G267" s="540"/>
      <c r="H267" s="540"/>
      <c r="I267" s="540"/>
      <c r="J267" s="540"/>
      <c r="K267" s="540"/>
      <c r="L267" s="540"/>
      <c r="M267" s="540"/>
      <c r="N267" s="540"/>
      <c r="O267" s="540"/>
      <c r="P267" s="264"/>
      <c r="Q267" s="256"/>
    </row>
    <row r="268" spans="1:17" ht="12.75" customHeight="1" x14ac:dyDescent="0.35">
      <c r="A268" s="342"/>
      <c r="B268" s="269"/>
      <c r="C268" s="284"/>
      <c r="D268" s="256" t="s">
        <v>334</v>
      </c>
      <c r="E268" s="256"/>
      <c r="F268" s="256"/>
      <c r="G268" s="256"/>
      <c r="H268" s="256"/>
      <c r="I268" s="256"/>
      <c r="J268" s="256"/>
      <c r="K268" s="256"/>
      <c r="L268" s="256"/>
      <c r="M268" s="256"/>
      <c r="N268" s="256"/>
      <c r="O268" s="256"/>
      <c r="P268" s="264"/>
      <c r="Q268" s="256"/>
    </row>
    <row r="269" spans="1:17" ht="12.75" customHeight="1" x14ac:dyDescent="0.35">
      <c r="A269" s="342"/>
      <c r="B269" s="269"/>
      <c r="C269" s="284"/>
      <c r="D269" s="256"/>
      <c r="E269" s="256"/>
      <c r="F269" s="256"/>
      <c r="G269" s="256"/>
      <c r="H269" s="256"/>
      <c r="I269" s="256"/>
      <c r="J269" s="256"/>
      <c r="K269" s="256"/>
      <c r="L269" s="256"/>
      <c r="M269" s="256"/>
      <c r="N269" s="256"/>
      <c r="O269" s="256"/>
      <c r="P269" s="264"/>
      <c r="Q269" s="256"/>
    </row>
    <row r="270" spans="1:17" ht="12.75" customHeight="1" x14ac:dyDescent="0.35">
      <c r="A270" s="342"/>
      <c r="B270" s="269"/>
      <c r="C270" s="284"/>
      <c r="D270" s="256" t="s">
        <v>46</v>
      </c>
      <c r="E270" s="256" t="s">
        <v>335</v>
      </c>
      <c r="F270" s="256"/>
      <c r="G270" s="256"/>
      <c r="H270" s="256"/>
      <c r="I270" s="256"/>
      <c r="J270" s="256"/>
      <c r="K270" s="256"/>
      <c r="L270" s="256"/>
      <c r="M270" s="256"/>
      <c r="N270" s="256"/>
      <c r="O270" s="256"/>
      <c r="P270" s="264"/>
      <c r="Q270" s="256"/>
    </row>
    <row r="271" spans="1:17" ht="12.75" customHeight="1" x14ac:dyDescent="0.35">
      <c r="A271" s="342"/>
      <c r="B271" s="269"/>
      <c r="C271" s="284"/>
      <c r="D271" s="256" t="s">
        <v>47</v>
      </c>
      <c r="E271" s="256" t="s">
        <v>336</v>
      </c>
      <c r="F271" s="256"/>
      <c r="G271" s="256"/>
      <c r="H271" s="256"/>
      <c r="I271" s="256"/>
      <c r="J271" s="256"/>
      <c r="K271" s="256"/>
      <c r="L271" s="256"/>
      <c r="M271" s="256"/>
      <c r="N271" s="256"/>
      <c r="O271" s="256"/>
      <c r="P271" s="264"/>
      <c r="Q271" s="256"/>
    </row>
    <row r="272" spans="1:17" ht="12.75" customHeight="1" x14ac:dyDescent="0.35">
      <c r="A272" s="342"/>
      <c r="B272" s="269"/>
      <c r="C272" s="284"/>
      <c r="D272" s="256"/>
      <c r="E272" s="256"/>
      <c r="F272" s="256"/>
      <c r="G272" s="256"/>
      <c r="H272" s="256"/>
      <c r="I272" s="256"/>
      <c r="J272" s="256"/>
      <c r="K272" s="256"/>
      <c r="L272" s="256"/>
      <c r="M272" s="256"/>
      <c r="N272" s="256"/>
      <c r="O272" s="256"/>
      <c r="P272" s="264"/>
      <c r="Q272" s="256"/>
    </row>
    <row r="273" spans="1:17" ht="12.75" customHeight="1" x14ac:dyDescent="0.35">
      <c r="A273" s="342"/>
      <c r="B273" s="269"/>
      <c r="C273" s="284"/>
      <c r="D273" s="533" t="s">
        <v>337</v>
      </c>
      <c r="E273" s="533"/>
      <c r="F273" s="533"/>
      <c r="G273" s="533"/>
      <c r="H273" s="533"/>
      <c r="I273" s="533"/>
      <c r="J273" s="533"/>
      <c r="K273" s="533"/>
      <c r="L273" s="533"/>
      <c r="M273" s="533"/>
      <c r="N273" s="533"/>
      <c r="O273" s="533"/>
      <c r="P273" s="264"/>
      <c r="Q273" s="256"/>
    </row>
    <row r="274" spans="1:17" ht="12.75" customHeight="1" x14ac:dyDescent="0.35">
      <c r="A274" s="342"/>
      <c r="B274" s="269"/>
      <c r="C274" s="284"/>
      <c r="D274" s="533"/>
      <c r="E274" s="533"/>
      <c r="F274" s="533"/>
      <c r="G274" s="533"/>
      <c r="H274" s="533"/>
      <c r="I274" s="533"/>
      <c r="J274" s="533"/>
      <c r="K274" s="533"/>
      <c r="L274" s="533"/>
      <c r="M274" s="533"/>
      <c r="N274" s="533"/>
      <c r="O274" s="533"/>
      <c r="P274" s="264"/>
      <c r="Q274" s="256"/>
    </row>
    <row r="275" spans="1:17" ht="12.75" customHeight="1" x14ac:dyDescent="0.35">
      <c r="A275" s="256"/>
      <c r="B275" s="269"/>
      <c r="C275" s="284"/>
      <c r="D275" s="256"/>
      <c r="E275" s="256"/>
      <c r="F275" s="256"/>
      <c r="G275" s="256"/>
      <c r="H275" s="256"/>
      <c r="I275" s="256"/>
      <c r="J275" s="256"/>
      <c r="K275" s="256"/>
      <c r="L275" s="256"/>
      <c r="M275" s="256"/>
      <c r="N275" s="256"/>
      <c r="O275" s="256"/>
      <c r="P275" s="264"/>
      <c r="Q275" s="256"/>
    </row>
    <row r="276" spans="1:17" ht="12.75" customHeight="1" x14ac:dyDescent="0.35">
      <c r="A276" s="342"/>
      <c r="B276" s="283"/>
      <c r="C276" s="284"/>
      <c r="D276" s="285" t="s">
        <v>338</v>
      </c>
      <c r="E276" s="256"/>
      <c r="F276" s="256"/>
      <c r="G276" s="256"/>
      <c r="H276" s="256"/>
      <c r="I276" s="256"/>
      <c r="J276" s="256"/>
      <c r="K276" s="256"/>
      <c r="L276" s="256"/>
      <c r="M276" s="256"/>
      <c r="N276" s="256"/>
      <c r="O276" s="256"/>
      <c r="P276" s="264"/>
      <c r="Q276" s="256"/>
    </row>
    <row r="277" spans="1:17" ht="12.75" customHeight="1" x14ac:dyDescent="0.35">
      <c r="A277" s="342"/>
      <c r="B277" s="287"/>
      <c r="C277" s="284"/>
      <c r="D277" s="288"/>
      <c r="E277" s="256"/>
      <c r="F277" s="256"/>
      <c r="G277" s="256"/>
      <c r="H277" s="256"/>
      <c r="I277" s="256"/>
      <c r="J277" s="256"/>
      <c r="K277" s="256"/>
      <c r="L277" s="256"/>
      <c r="M277" s="256"/>
      <c r="N277" s="256"/>
      <c r="O277" s="256"/>
      <c r="P277" s="264"/>
      <c r="Q277" s="256"/>
    </row>
    <row r="278" spans="1:17" ht="12.75" customHeight="1" x14ac:dyDescent="0.35">
      <c r="A278" s="342"/>
      <c r="B278" s="287"/>
      <c r="C278" s="284" t="str">
        <f>CONCATENATE(Questionnaire!B213," to ",Questionnaire!B217)</f>
        <v>89 to 91</v>
      </c>
      <c r="D278" s="288" t="s">
        <v>339</v>
      </c>
      <c r="E278" s="256"/>
      <c r="F278" s="256"/>
      <c r="G278" s="256"/>
      <c r="H278" s="256"/>
      <c r="I278" s="256"/>
      <c r="J278" s="256"/>
      <c r="K278" s="256"/>
      <c r="L278" s="256"/>
      <c r="M278" s="256"/>
      <c r="N278" s="256"/>
      <c r="O278" s="256"/>
      <c r="P278" s="264"/>
      <c r="Q278" s="256"/>
    </row>
    <row r="279" spans="1:17" ht="12.75" customHeight="1" x14ac:dyDescent="0.35">
      <c r="A279" s="342"/>
      <c r="B279" s="269"/>
      <c r="C279" s="284"/>
      <c r="D279" s="533" t="s">
        <v>340</v>
      </c>
      <c r="E279" s="533"/>
      <c r="F279" s="533"/>
      <c r="G279" s="533"/>
      <c r="H279" s="533"/>
      <c r="I279" s="533"/>
      <c r="J279" s="533"/>
      <c r="K279" s="533"/>
      <c r="L279" s="533"/>
      <c r="M279" s="533"/>
      <c r="N279" s="533"/>
      <c r="O279" s="533"/>
      <c r="P279" s="264"/>
      <c r="Q279" s="256"/>
    </row>
    <row r="280" spans="1:17" ht="12.75" customHeight="1" x14ac:dyDescent="0.35">
      <c r="A280" s="342"/>
      <c r="B280" s="269"/>
      <c r="C280" s="284"/>
      <c r="D280" s="533"/>
      <c r="E280" s="533"/>
      <c r="F280" s="533"/>
      <c r="G280" s="533"/>
      <c r="H280" s="533"/>
      <c r="I280" s="533"/>
      <c r="J280" s="533"/>
      <c r="K280" s="533"/>
      <c r="L280" s="533"/>
      <c r="M280" s="533"/>
      <c r="N280" s="533"/>
      <c r="O280" s="533"/>
      <c r="P280" s="264"/>
      <c r="Q280" s="256"/>
    </row>
    <row r="281" spans="1:17" ht="12.75" customHeight="1" x14ac:dyDescent="0.35">
      <c r="A281" s="342"/>
      <c r="B281" s="269"/>
      <c r="C281" s="284"/>
      <c r="D281" s="533"/>
      <c r="E281" s="533"/>
      <c r="F281" s="533"/>
      <c r="G281" s="533"/>
      <c r="H281" s="533"/>
      <c r="I281" s="533"/>
      <c r="J281" s="533"/>
      <c r="K281" s="533"/>
      <c r="L281" s="533"/>
      <c r="M281" s="533"/>
      <c r="N281" s="533"/>
      <c r="O281" s="533"/>
      <c r="P281" s="264"/>
      <c r="Q281" s="256"/>
    </row>
    <row r="282" spans="1:17" ht="12.75" customHeight="1" x14ac:dyDescent="0.35">
      <c r="A282" s="342"/>
      <c r="B282" s="308"/>
      <c r="C282" s="284"/>
      <c r="D282" s="272"/>
      <c r="E282" s="272"/>
      <c r="F282" s="272"/>
      <c r="G282" s="272"/>
      <c r="H282" s="272"/>
      <c r="I282" s="272"/>
      <c r="J282" s="272"/>
      <c r="K282" s="272"/>
      <c r="L282" s="272"/>
      <c r="M282" s="272"/>
      <c r="N282" s="272"/>
      <c r="O282" s="272"/>
      <c r="P282" s="264"/>
      <c r="Q282" s="256"/>
    </row>
    <row r="283" spans="1:17" ht="12.75" customHeight="1" x14ac:dyDescent="0.35">
      <c r="A283" s="342"/>
      <c r="B283" s="314"/>
      <c r="C283" s="284"/>
      <c r="D283" s="315" t="s">
        <v>341</v>
      </c>
      <c r="E283" s="256"/>
      <c r="F283" s="256"/>
      <c r="G283" s="256"/>
      <c r="H283" s="256"/>
      <c r="I283" s="256"/>
      <c r="J283" s="256"/>
      <c r="K283" s="256"/>
      <c r="L283" s="256"/>
      <c r="M283" s="256"/>
      <c r="N283" s="256"/>
      <c r="O283" s="256"/>
      <c r="P283" s="264"/>
      <c r="Q283" s="256"/>
    </row>
    <row r="284" spans="1:17" ht="12.75" customHeight="1" x14ac:dyDescent="0.35">
      <c r="A284" s="342"/>
      <c r="B284" s="269"/>
      <c r="C284" s="284"/>
      <c r="D284" s="534" t="s">
        <v>342</v>
      </c>
      <c r="E284" s="534"/>
      <c r="F284" s="534"/>
      <c r="G284" s="534"/>
      <c r="H284" s="534"/>
      <c r="I284" s="534"/>
      <c r="J284" s="534"/>
      <c r="K284" s="534"/>
      <c r="L284" s="534"/>
      <c r="M284" s="534"/>
      <c r="N284" s="534"/>
      <c r="O284" s="534"/>
      <c r="P284" s="264"/>
      <c r="Q284" s="256"/>
    </row>
    <row r="285" spans="1:17" ht="12.75" customHeight="1" x14ac:dyDescent="0.35">
      <c r="A285" s="342"/>
      <c r="B285" s="269"/>
      <c r="C285" s="284"/>
      <c r="D285" s="534"/>
      <c r="E285" s="534"/>
      <c r="F285" s="534"/>
      <c r="G285" s="534"/>
      <c r="H285" s="534"/>
      <c r="I285" s="534"/>
      <c r="J285" s="534"/>
      <c r="K285" s="534"/>
      <c r="L285" s="534"/>
      <c r="M285" s="534"/>
      <c r="N285" s="534"/>
      <c r="O285" s="534"/>
      <c r="P285" s="264"/>
      <c r="Q285" s="256"/>
    </row>
    <row r="286" spans="1:17" ht="12.75" customHeight="1" x14ac:dyDescent="0.35">
      <c r="A286" s="342"/>
      <c r="B286" s="269"/>
      <c r="C286" s="284"/>
      <c r="D286" s="541" t="str">
        <f>CONCATENATE("NB. Authorities may if they wish, base their figures on a larger statistical sample than the one suggested by CIPFA.  Please indicate if this is the case at line ",Questionnaire!B217,".")</f>
        <v>NB. Authorities may if they wish, base their figures on a larger statistical sample than the one suggested by CIPFA.  Please indicate if this is the case at line 91.</v>
      </c>
      <c r="E286" s="541"/>
      <c r="F286" s="541"/>
      <c r="G286" s="541"/>
      <c r="H286" s="541"/>
      <c r="I286" s="541"/>
      <c r="J286" s="541"/>
      <c r="K286" s="541"/>
      <c r="L286" s="541"/>
      <c r="M286" s="541"/>
      <c r="N286" s="541"/>
      <c r="O286" s="541"/>
      <c r="P286" s="264"/>
      <c r="Q286" s="256"/>
    </row>
    <row r="287" spans="1:17" ht="12.75" customHeight="1" x14ac:dyDescent="0.35">
      <c r="A287" s="342"/>
      <c r="B287" s="269"/>
      <c r="C287" s="284"/>
      <c r="D287" s="541"/>
      <c r="E287" s="541"/>
      <c r="F287" s="541"/>
      <c r="G287" s="541"/>
      <c r="H287" s="541"/>
      <c r="I287" s="541"/>
      <c r="J287" s="541"/>
      <c r="K287" s="541"/>
      <c r="L287" s="541"/>
      <c r="M287" s="541"/>
      <c r="N287" s="541"/>
      <c r="O287" s="541"/>
      <c r="P287" s="264"/>
      <c r="Q287" s="256"/>
    </row>
    <row r="288" spans="1:17" ht="12.75" customHeight="1" thickBot="1" x14ac:dyDescent="0.4">
      <c r="A288" s="256"/>
      <c r="B288" s="289"/>
      <c r="C288" s="290"/>
      <c r="D288" s="316"/>
      <c r="E288" s="316"/>
      <c r="F288" s="316"/>
      <c r="G288" s="316"/>
      <c r="H288" s="316"/>
      <c r="I288" s="316"/>
      <c r="J288" s="316"/>
      <c r="K288" s="316"/>
      <c r="L288" s="316"/>
      <c r="M288" s="316"/>
      <c r="N288" s="316"/>
      <c r="O288" s="316"/>
      <c r="P288" s="292"/>
      <c r="Q288" s="256"/>
    </row>
    <row r="289" spans="1:17" ht="5.25" customHeight="1" x14ac:dyDescent="0.35">
      <c r="A289" s="256"/>
      <c r="B289" s="317"/>
      <c r="C289" s="294"/>
      <c r="D289" s="318"/>
      <c r="E289" s="318"/>
      <c r="F289" s="318"/>
      <c r="G289" s="318"/>
      <c r="H289" s="318"/>
      <c r="I289" s="318"/>
      <c r="J289" s="318"/>
      <c r="K289" s="318"/>
      <c r="L289" s="318"/>
      <c r="M289" s="318"/>
      <c r="N289" s="318"/>
      <c r="O289" s="318"/>
      <c r="P289" s="296"/>
      <c r="Q289" s="256"/>
    </row>
    <row r="290" spans="1:17" ht="12.75" customHeight="1" x14ac:dyDescent="0.35">
      <c r="A290" s="342"/>
      <c r="B290" s="283"/>
      <c r="C290" s="284"/>
      <c r="D290" s="285" t="s">
        <v>157</v>
      </c>
      <c r="E290" s="256"/>
      <c r="F290" s="256"/>
      <c r="G290" s="256"/>
      <c r="H290" s="256"/>
      <c r="I290" s="256"/>
      <c r="J290" s="256"/>
      <c r="K290" s="256"/>
      <c r="L290" s="256"/>
      <c r="M290" s="256"/>
      <c r="N290" s="256"/>
      <c r="O290" s="256"/>
      <c r="P290" s="264"/>
      <c r="Q290" s="256"/>
    </row>
    <row r="291" spans="1:17" ht="12.75" customHeight="1" x14ac:dyDescent="0.35">
      <c r="A291" s="342"/>
      <c r="B291" s="269"/>
      <c r="C291" s="284"/>
      <c r="D291" s="256"/>
      <c r="E291" s="256"/>
      <c r="F291" s="256"/>
      <c r="G291" s="256"/>
      <c r="H291" s="256"/>
      <c r="I291" s="256"/>
      <c r="J291" s="256"/>
      <c r="K291" s="256"/>
      <c r="L291" s="256"/>
      <c r="M291" s="256"/>
      <c r="N291" s="256"/>
      <c r="O291" s="256"/>
      <c r="P291" s="264"/>
      <c r="Q291" s="256"/>
    </row>
    <row r="292" spans="1:17" ht="12.75" customHeight="1" x14ac:dyDescent="0.35">
      <c r="A292" s="342"/>
      <c r="B292" s="287"/>
      <c r="C292" s="284">
        <f>Questionnaire!B224</f>
        <v>92</v>
      </c>
      <c r="D292" s="288" t="s">
        <v>158</v>
      </c>
      <c r="E292" s="256"/>
      <c r="F292" s="256"/>
      <c r="G292" s="256"/>
      <c r="H292" s="256"/>
      <c r="I292" s="256"/>
      <c r="J292" s="256"/>
      <c r="K292" s="256"/>
      <c r="L292" s="256"/>
      <c r="M292" s="256"/>
      <c r="N292" s="256"/>
      <c r="O292" s="256"/>
      <c r="P292" s="264"/>
      <c r="Q292" s="256"/>
    </row>
    <row r="293" spans="1:17" ht="12.75" customHeight="1" x14ac:dyDescent="0.35">
      <c r="A293" s="342"/>
      <c r="B293" s="269"/>
      <c r="C293" s="284"/>
      <c r="D293" s="533" t="e">
        <f>CONCATENATE("Actual number in ",Year,"-",Year-1999,".  An active borrower is defined as someone who has borrowed at least one item from the library during the year.  This figure should come from the library management system and relate to borrowing and not membership figures.")</f>
        <v>#REF!</v>
      </c>
      <c r="E293" s="533"/>
      <c r="F293" s="533"/>
      <c r="G293" s="533"/>
      <c r="H293" s="533"/>
      <c r="I293" s="533"/>
      <c r="J293" s="533"/>
      <c r="K293" s="533"/>
      <c r="L293" s="533"/>
      <c r="M293" s="533"/>
      <c r="N293" s="533"/>
      <c r="O293" s="533"/>
      <c r="P293" s="264"/>
      <c r="Q293" s="256"/>
    </row>
    <row r="294" spans="1:17" ht="12.75" customHeight="1" x14ac:dyDescent="0.35">
      <c r="A294" s="342"/>
      <c r="B294" s="269"/>
      <c r="C294" s="284"/>
      <c r="D294" s="533"/>
      <c r="E294" s="533"/>
      <c r="F294" s="533"/>
      <c r="G294" s="533"/>
      <c r="H294" s="533"/>
      <c r="I294" s="533"/>
      <c r="J294" s="533"/>
      <c r="K294" s="533"/>
      <c r="L294" s="533"/>
      <c r="M294" s="533"/>
      <c r="N294" s="533"/>
      <c r="O294" s="533"/>
      <c r="P294" s="264"/>
      <c r="Q294" s="256"/>
    </row>
    <row r="295" spans="1:17" ht="12.75" customHeight="1" x14ac:dyDescent="0.35">
      <c r="A295" s="342"/>
      <c r="B295" s="269"/>
      <c r="C295" s="284"/>
      <c r="D295" s="533"/>
      <c r="E295" s="533"/>
      <c r="F295" s="533"/>
      <c r="G295" s="533"/>
      <c r="H295" s="533"/>
      <c r="I295" s="533"/>
      <c r="J295" s="533"/>
      <c r="K295" s="533"/>
      <c r="L295" s="533"/>
      <c r="M295" s="533"/>
      <c r="N295" s="533"/>
      <c r="O295" s="533"/>
      <c r="P295" s="264"/>
      <c r="Q295" s="256"/>
    </row>
    <row r="296" spans="1:17" ht="12.75" customHeight="1" x14ac:dyDescent="0.35">
      <c r="A296" s="342"/>
      <c r="B296" s="308"/>
      <c r="C296" s="284"/>
      <c r="D296" s="272"/>
      <c r="E296" s="272"/>
      <c r="F296" s="272"/>
      <c r="G296" s="272"/>
      <c r="H296" s="272"/>
      <c r="I296" s="272"/>
      <c r="J296" s="272"/>
      <c r="K296" s="272"/>
      <c r="L296" s="272"/>
      <c r="M296" s="272"/>
      <c r="N296" s="272"/>
      <c r="O296" s="272"/>
      <c r="P296" s="264"/>
      <c r="Q296" s="256"/>
    </row>
    <row r="297" spans="1:17" ht="12.75" customHeight="1" x14ac:dyDescent="0.35">
      <c r="A297" s="342"/>
      <c r="B297" s="287"/>
      <c r="C297" s="284">
        <f>Questionnaire!B230</f>
        <v>93</v>
      </c>
      <c r="D297" s="288" t="s">
        <v>159</v>
      </c>
      <c r="E297" s="256"/>
      <c r="F297" s="256"/>
      <c r="G297" s="256"/>
      <c r="H297" s="256"/>
      <c r="I297" s="256"/>
      <c r="J297" s="256"/>
      <c r="K297" s="256"/>
      <c r="L297" s="256"/>
      <c r="M297" s="256"/>
      <c r="N297" s="256"/>
      <c r="O297" s="256"/>
      <c r="P297" s="264"/>
      <c r="Q297" s="256"/>
    </row>
    <row r="298" spans="1:17" ht="12.75" customHeight="1" x14ac:dyDescent="0.35">
      <c r="A298" s="342"/>
      <c r="B298" s="269"/>
      <c r="C298" s="284"/>
      <c r="D298" s="533" t="s">
        <v>343</v>
      </c>
      <c r="E298" s="533"/>
      <c r="F298" s="533"/>
      <c r="G298" s="533"/>
      <c r="H298" s="533"/>
      <c r="I298" s="533"/>
      <c r="J298" s="533"/>
      <c r="K298" s="533"/>
      <c r="L298" s="533"/>
      <c r="M298" s="533"/>
      <c r="N298" s="533"/>
      <c r="O298" s="533"/>
      <c r="P298" s="264"/>
      <c r="Q298" s="256"/>
    </row>
    <row r="299" spans="1:17" ht="12.75" customHeight="1" x14ac:dyDescent="0.35">
      <c r="A299" s="342"/>
      <c r="B299" s="269"/>
      <c r="C299" s="284"/>
      <c r="D299" s="533"/>
      <c r="E299" s="533"/>
      <c r="F299" s="533"/>
      <c r="G299" s="533"/>
      <c r="H299" s="533"/>
      <c r="I299" s="533"/>
      <c r="J299" s="533"/>
      <c r="K299" s="533"/>
      <c r="L299" s="533"/>
      <c r="M299" s="533"/>
      <c r="N299" s="533"/>
      <c r="O299" s="533"/>
      <c r="P299" s="264"/>
      <c r="Q299" s="256"/>
    </row>
    <row r="300" spans="1:17" ht="12.75" customHeight="1" x14ac:dyDescent="0.35">
      <c r="A300" s="342"/>
      <c r="B300" s="308"/>
      <c r="C300" s="284"/>
      <c r="D300" s="272"/>
      <c r="E300" s="272"/>
      <c r="F300" s="272"/>
      <c r="G300" s="272"/>
      <c r="H300" s="272"/>
      <c r="I300" s="272"/>
      <c r="J300" s="272"/>
      <c r="K300" s="272"/>
      <c r="L300" s="272"/>
      <c r="M300" s="272"/>
      <c r="N300" s="272"/>
      <c r="O300" s="272"/>
      <c r="P300" s="264"/>
      <c r="Q300" s="256"/>
    </row>
    <row r="301" spans="1:17" ht="12.75" customHeight="1" x14ac:dyDescent="0.35">
      <c r="A301" s="342"/>
      <c r="B301" s="269"/>
      <c r="C301" s="343" t="s">
        <v>54</v>
      </c>
      <c r="D301" s="256" t="s">
        <v>46</v>
      </c>
      <c r="E301" s="544" t="s">
        <v>344</v>
      </c>
      <c r="F301" s="544"/>
      <c r="G301" s="544"/>
      <c r="H301" s="544"/>
      <c r="I301" s="544"/>
      <c r="J301" s="544"/>
      <c r="K301" s="544"/>
      <c r="L301" s="544"/>
      <c r="M301" s="544"/>
      <c r="N301" s="544"/>
      <c r="O301" s="544"/>
      <c r="P301" s="264"/>
      <c r="Q301" s="256"/>
    </row>
    <row r="302" spans="1:17" ht="12.75" customHeight="1" x14ac:dyDescent="0.35">
      <c r="A302" s="342"/>
      <c r="B302" s="269"/>
      <c r="C302" s="284"/>
      <c r="D302" s="256"/>
      <c r="E302" s="544"/>
      <c r="F302" s="544"/>
      <c r="G302" s="544"/>
      <c r="H302" s="544"/>
      <c r="I302" s="544"/>
      <c r="J302" s="544"/>
      <c r="K302" s="544"/>
      <c r="L302" s="544"/>
      <c r="M302" s="544"/>
      <c r="N302" s="544"/>
      <c r="O302" s="544"/>
      <c r="P302" s="264"/>
      <c r="Q302" s="256"/>
    </row>
    <row r="303" spans="1:17" ht="20.25" customHeight="1" x14ac:dyDescent="0.35">
      <c r="A303" s="342"/>
      <c r="B303" s="269"/>
      <c r="C303" s="284"/>
      <c r="D303" s="256" t="s">
        <v>47</v>
      </c>
      <c r="E303" s="544" t="s">
        <v>345</v>
      </c>
      <c r="F303" s="544"/>
      <c r="G303" s="544"/>
      <c r="H303" s="544"/>
      <c r="I303" s="544"/>
      <c r="J303" s="544"/>
      <c r="K303" s="544"/>
      <c r="L303" s="544"/>
      <c r="M303" s="544"/>
      <c r="N303" s="544"/>
      <c r="O303" s="544"/>
      <c r="P303" s="264"/>
      <c r="Q303" s="256"/>
    </row>
    <row r="304" spans="1:17" ht="12.75" customHeight="1" x14ac:dyDescent="0.35">
      <c r="A304" s="342"/>
      <c r="B304" s="269"/>
      <c r="C304" s="284"/>
      <c r="D304" s="256"/>
      <c r="E304" s="544"/>
      <c r="F304" s="544"/>
      <c r="G304" s="544"/>
      <c r="H304" s="544"/>
      <c r="I304" s="544"/>
      <c r="J304" s="544"/>
      <c r="K304" s="544"/>
      <c r="L304" s="544"/>
      <c r="M304" s="544"/>
      <c r="N304" s="544"/>
      <c r="O304" s="544"/>
      <c r="P304" s="264"/>
      <c r="Q304" s="256"/>
    </row>
    <row r="305" spans="1:17" ht="12.75" customHeight="1" x14ac:dyDescent="0.35">
      <c r="A305" s="342"/>
      <c r="B305" s="269"/>
      <c r="C305" s="284"/>
      <c r="D305" s="256"/>
      <c r="E305" s="544"/>
      <c r="F305" s="544"/>
      <c r="G305" s="544"/>
      <c r="H305" s="544"/>
      <c r="I305" s="544"/>
      <c r="J305" s="544"/>
      <c r="K305" s="544"/>
      <c r="L305" s="544"/>
      <c r="M305" s="544"/>
      <c r="N305" s="544"/>
      <c r="O305" s="544"/>
      <c r="P305" s="264"/>
      <c r="Q305" s="256"/>
    </row>
    <row r="306" spans="1:17" ht="12.75" customHeight="1" x14ac:dyDescent="0.35">
      <c r="A306" s="342"/>
      <c r="B306" s="269"/>
      <c r="C306" s="284"/>
      <c r="D306" s="256"/>
      <c r="E306" s="544"/>
      <c r="F306" s="544"/>
      <c r="G306" s="544"/>
      <c r="H306" s="544"/>
      <c r="I306" s="544"/>
      <c r="J306" s="544"/>
      <c r="K306" s="544"/>
      <c r="L306" s="544"/>
      <c r="M306" s="544"/>
      <c r="N306" s="544"/>
      <c r="O306" s="544"/>
      <c r="P306" s="264"/>
      <c r="Q306" s="256"/>
    </row>
    <row r="307" spans="1:17" ht="12.75" customHeight="1" x14ac:dyDescent="0.35">
      <c r="A307" s="342"/>
      <c r="B307" s="269"/>
      <c r="C307" s="284"/>
      <c r="D307" s="256"/>
      <c r="E307" s="256"/>
      <c r="F307" s="256"/>
      <c r="G307" s="256"/>
      <c r="H307" s="256"/>
      <c r="I307" s="256"/>
      <c r="J307" s="256"/>
      <c r="K307" s="256"/>
      <c r="L307" s="256"/>
      <c r="M307" s="256"/>
      <c r="N307" s="256"/>
      <c r="O307" s="256"/>
      <c r="P307" s="264"/>
      <c r="Q307" s="256"/>
    </row>
    <row r="308" spans="1:17" ht="12.75" customHeight="1" x14ac:dyDescent="0.35">
      <c r="A308" s="342"/>
      <c r="B308" s="287"/>
      <c r="C308" s="284" t="str">
        <f>CONCATENATE(Questionnaire!B233," to ",Questionnaire!B245)</f>
        <v>94 to 96</v>
      </c>
      <c r="D308" s="288" t="s">
        <v>160</v>
      </c>
      <c r="E308" s="256"/>
      <c r="F308" s="256"/>
      <c r="G308" s="256"/>
      <c r="H308" s="256"/>
      <c r="I308" s="256"/>
      <c r="J308" s="256"/>
      <c r="K308" s="256"/>
      <c r="L308" s="256"/>
      <c r="M308" s="256"/>
      <c r="N308" s="256"/>
      <c r="O308" s="256"/>
      <c r="P308" s="264"/>
      <c r="Q308" s="256"/>
    </row>
    <row r="309" spans="1:17" ht="12.65" customHeight="1" x14ac:dyDescent="0.35">
      <c r="A309" s="342"/>
      <c r="B309" s="269"/>
      <c r="C309" s="343" t="s">
        <v>54</v>
      </c>
      <c r="D309" s="533" t="s">
        <v>346</v>
      </c>
      <c r="E309" s="533"/>
      <c r="F309" s="533"/>
      <c r="G309" s="533"/>
      <c r="H309" s="533"/>
      <c r="I309" s="533"/>
      <c r="J309" s="533"/>
      <c r="K309" s="533"/>
      <c r="L309" s="533"/>
      <c r="M309" s="533"/>
      <c r="N309" s="533"/>
      <c r="O309" s="533"/>
      <c r="P309" s="264"/>
      <c r="Q309" s="256"/>
    </row>
    <row r="310" spans="1:17" ht="16.5" customHeight="1" x14ac:dyDescent="0.35">
      <c r="A310" s="342"/>
      <c r="B310" s="269"/>
      <c r="C310" s="284"/>
      <c r="D310" s="533"/>
      <c r="E310" s="533"/>
      <c r="F310" s="533"/>
      <c r="G310" s="533"/>
      <c r="H310" s="533"/>
      <c r="I310" s="533"/>
      <c r="J310" s="533"/>
      <c r="K310" s="533"/>
      <c r="L310" s="533"/>
      <c r="M310" s="533"/>
      <c r="N310" s="533"/>
      <c r="O310" s="533"/>
      <c r="P310" s="264"/>
      <c r="Q310" s="256"/>
    </row>
    <row r="311" spans="1:17" ht="12.75" customHeight="1" x14ac:dyDescent="0.35">
      <c r="A311" s="342"/>
      <c r="B311" s="269"/>
      <c r="C311" s="284"/>
      <c r="D311" s="533"/>
      <c r="E311" s="533"/>
      <c r="F311" s="533"/>
      <c r="G311" s="533"/>
      <c r="H311" s="533"/>
      <c r="I311" s="533"/>
      <c r="J311" s="533"/>
      <c r="K311" s="533"/>
      <c r="L311" s="533"/>
      <c r="M311" s="533"/>
      <c r="N311" s="533"/>
      <c r="O311" s="533"/>
      <c r="P311" s="264"/>
      <c r="Q311" s="256"/>
    </row>
    <row r="312" spans="1:17" ht="12.75" customHeight="1" x14ac:dyDescent="0.35">
      <c r="A312" s="342"/>
      <c r="B312" s="269"/>
      <c r="C312" s="284"/>
      <c r="D312" s="533"/>
      <c r="E312" s="533"/>
      <c r="F312" s="533"/>
      <c r="G312" s="533"/>
      <c r="H312" s="533"/>
      <c r="I312" s="533"/>
      <c r="J312" s="533"/>
      <c r="K312" s="533"/>
      <c r="L312" s="533"/>
      <c r="M312" s="533"/>
      <c r="N312" s="533"/>
      <c r="O312" s="533"/>
      <c r="P312" s="264"/>
      <c r="Q312" s="256"/>
    </row>
    <row r="313" spans="1:17" ht="12.75" customHeight="1" x14ac:dyDescent="0.35">
      <c r="A313" s="342"/>
      <c r="B313" s="269"/>
      <c r="C313" s="284"/>
      <c r="D313" s="533"/>
      <c r="E313" s="533"/>
      <c r="F313" s="533"/>
      <c r="G313" s="533"/>
      <c r="H313" s="533"/>
      <c r="I313" s="533"/>
      <c r="J313" s="533"/>
      <c r="K313" s="533"/>
      <c r="L313" s="533"/>
      <c r="M313" s="533"/>
      <c r="N313" s="533"/>
      <c r="O313" s="533"/>
      <c r="P313" s="264"/>
      <c r="Q313" s="256"/>
    </row>
    <row r="314" spans="1:17" ht="12.75" customHeight="1" x14ac:dyDescent="0.35">
      <c r="A314" s="342"/>
      <c r="B314" s="269"/>
      <c r="C314" s="284"/>
      <c r="D314" s="533"/>
      <c r="E314" s="533"/>
      <c r="F314" s="533"/>
      <c r="G314" s="533"/>
      <c r="H314" s="533"/>
      <c r="I314" s="533"/>
      <c r="J314" s="533"/>
      <c r="K314" s="533"/>
      <c r="L314" s="533"/>
      <c r="M314" s="533"/>
      <c r="N314" s="533"/>
      <c r="O314" s="533"/>
      <c r="P314" s="264"/>
      <c r="Q314" s="256"/>
    </row>
    <row r="315" spans="1:17" ht="12.75" customHeight="1" x14ac:dyDescent="0.35">
      <c r="A315" s="342"/>
      <c r="B315" s="269"/>
      <c r="C315" s="284"/>
      <c r="D315" s="533"/>
      <c r="E315" s="533"/>
      <c r="F315" s="533"/>
      <c r="G315" s="533"/>
      <c r="H315" s="533"/>
      <c r="I315" s="533"/>
      <c r="J315" s="533"/>
      <c r="K315" s="533"/>
      <c r="L315" s="533"/>
      <c r="M315" s="533"/>
      <c r="N315" s="533"/>
      <c r="O315" s="533"/>
      <c r="P315" s="264"/>
      <c r="Q315" s="256"/>
    </row>
    <row r="316" spans="1:17" ht="33.65" customHeight="1" x14ac:dyDescent="0.35">
      <c r="A316" s="342"/>
      <c r="B316" s="269"/>
      <c r="C316" s="284"/>
      <c r="D316" s="256"/>
      <c r="E316" s="256"/>
      <c r="F316" s="256"/>
      <c r="G316" s="256"/>
      <c r="H316" s="256"/>
      <c r="I316" s="256"/>
      <c r="J316" s="256"/>
      <c r="K316" s="256"/>
      <c r="L316" s="256"/>
      <c r="M316" s="272"/>
      <c r="N316" s="272"/>
      <c r="O316" s="272"/>
      <c r="P316" s="264"/>
      <c r="Q316" s="256"/>
    </row>
    <row r="317" spans="1:17" ht="12.75" customHeight="1" x14ac:dyDescent="0.35">
      <c r="A317" s="342"/>
      <c r="B317" s="269"/>
      <c r="C317" s="284"/>
      <c r="D317" s="534" t="s">
        <v>347</v>
      </c>
      <c r="E317" s="534"/>
      <c r="F317" s="534"/>
      <c r="G317" s="534"/>
      <c r="H317" s="534"/>
      <c r="I317" s="534"/>
      <c r="J317" s="534"/>
      <c r="K317" s="534"/>
      <c r="L317" s="534"/>
      <c r="M317" s="534"/>
      <c r="N317" s="534"/>
      <c r="O317" s="534"/>
      <c r="P317" s="264"/>
      <c r="Q317" s="256"/>
    </row>
    <row r="318" spans="1:17" ht="12.75" customHeight="1" x14ac:dyDescent="0.35">
      <c r="A318" s="342"/>
      <c r="B318" s="269"/>
      <c r="C318" s="284"/>
      <c r="D318" s="534"/>
      <c r="E318" s="534"/>
      <c r="F318" s="534"/>
      <c r="G318" s="534"/>
      <c r="H318" s="534"/>
      <c r="I318" s="534"/>
      <c r="J318" s="534"/>
      <c r="K318" s="534"/>
      <c r="L318" s="534"/>
      <c r="M318" s="534"/>
      <c r="N318" s="534"/>
      <c r="O318" s="534"/>
      <c r="P318" s="264"/>
      <c r="Q318" s="256"/>
    </row>
    <row r="319" spans="1:17" ht="12.75" customHeight="1" x14ac:dyDescent="0.35">
      <c r="A319" s="342"/>
      <c r="B319" s="269"/>
      <c r="C319" s="284"/>
      <c r="D319" s="534"/>
      <c r="E319" s="534"/>
      <c r="F319" s="534"/>
      <c r="G319" s="534"/>
      <c r="H319" s="534"/>
      <c r="I319" s="534"/>
      <c r="J319" s="534"/>
      <c r="K319" s="534"/>
      <c r="L319" s="534"/>
      <c r="M319" s="534"/>
      <c r="N319" s="534"/>
      <c r="O319" s="534"/>
      <c r="P319" s="264"/>
      <c r="Q319" s="256"/>
    </row>
    <row r="320" spans="1:17" ht="12.75" customHeight="1" x14ac:dyDescent="0.35">
      <c r="A320" s="342"/>
      <c r="B320" s="269"/>
      <c r="C320" s="284"/>
      <c r="D320" s="534"/>
      <c r="E320" s="534"/>
      <c r="F320" s="534"/>
      <c r="G320" s="534"/>
      <c r="H320" s="534"/>
      <c r="I320" s="534"/>
      <c r="J320" s="534"/>
      <c r="K320" s="534"/>
      <c r="L320" s="534"/>
      <c r="M320" s="534"/>
      <c r="N320" s="534"/>
      <c r="O320" s="534"/>
      <c r="P320" s="264"/>
      <c r="Q320" s="256"/>
    </row>
    <row r="321" spans="1:17" ht="12.75" customHeight="1" x14ac:dyDescent="0.35">
      <c r="A321" s="342"/>
      <c r="B321" s="269"/>
      <c r="C321" s="284"/>
      <c r="D321" s="534"/>
      <c r="E321" s="534"/>
      <c r="F321" s="534"/>
      <c r="G321" s="534"/>
      <c r="H321" s="534"/>
      <c r="I321" s="534"/>
      <c r="J321" s="534"/>
      <c r="K321" s="534"/>
      <c r="L321" s="534"/>
      <c r="M321" s="534"/>
      <c r="N321" s="534"/>
      <c r="O321" s="534"/>
      <c r="P321" s="264"/>
      <c r="Q321" s="256"/>
    </row>
    <row r="322" spans="1:17" ht="12.75" customHeight="1" x14ac:dyDescent="0.35">
      <c r="A322" s="342"/>
      <c r="B322" s="269"/>
      <c r="C322" s="284"/>
      <c r="D322" s="534"/>
      <c r="E322" s="534"/>
      <c r="F322" s="534"/>
      <c r="G322" s="534"/>
      <c r="H322" s="534"/>
      <c r="I322" s="534"/>
      <c r="J322" s="534"/>
      <c r="K322" s="534"/>
      <c r="L322" s="534"/>
      <c r="M322" s="534"/>
      <c r="N322" s="534"/>
      <c r="O322" s="534"/>
      <c r="P322" s="264"/>
      <c r="Q322" s="256"/>
    </row>
    <row r="323" spans="1:17" ht="12.75" customHeight="1" x14ac:dyDescent="0.35">
      <c r="A323" s="342"/>
      <c r="B323" s="313"/>
      <c r="C323" s="284"/>
      <c r="D323" s="257" t="s">
        <v>46</v>
      </c>
      <c r="E323" s="256" t="s">
        <v>348</v>
      </c>
      <c r="F323" s="257"/>
      <c r="G323" s="257"/>
      <c r="H323" s="257"/>
      <c r="I323" s="257"/>
      <c r="J323" s="257"/>
      <c r="K323" s="257"/>
      <c r="L323" s="257"/>
      <c r="M323" s="272"/>
      <c r="N323" s="272"/>
      <c r="O323" s="272"/>
      <c r="P323" s="264"/>
      <c r="Q323" s="256"/>
    </row>
    <row r="324" spans="1:17" ht="12.75" customHeight="1" x14ac:dyDescent="0.35">
      <c r="A324" s="342"/>
      <c r="B324" s="313"/>
      <c r="C324" s="284"/>
      <c r="D324" s="257" t="s">
        <v>47</v>
      </c>
      <c r="E324" s="533" t="s">
        <v>349</v>
      </c>
      <c r="F324" s="533"/>
      <c r="G324" s="533"/>
      <c r="H324" s="533"/>
      <c r="I324" s="533"/>
      <c r="J324" s="533"/>
      <c r="K324" s="533"/>
      <c r="L324" s="533"/>
      <c r="M324" s="533"/>
      <c r="N324" s="533"/>
      <c r="O324" s="533"/>
      <c r="P324" s="264"/>
      <c r="Q324" s="256"/>
    </row>
    <row r="325" spans="1:17" ht="12.75" customHeight="1" x14ac:dyDescent="0.35">
      <c r="A325" s="342"/>
      <c r="B325" s="313"/>
      <c r="C325" s="284"/>
      <c r="D325" s="257"/>
      <c r="E325" s="533"/>
      <c r="F325" s="533"/>
      <c r="G325" s="533"/>
      <c r="H325" s="533"/>
      <c r="I325" s="533"/>
      <c r="J325" s="533"/>
      <c r="K325" s="533"/>
      <c r="L325" s="533"/>
      <c r="M325" s="533"/>
      <c r="N325" s="533"/>
      <c r="O325" s="533"/>
      <c r="P325" s="264"/>
      <c r="Q325" s="256"/>
    </row>
    <row r="326" spans="1:17" ht="12.75" customHeight="1" x14ac:dyDescent="0.35">
      <c r="A326" s="342"/>
      <c r="B326" s="313"/>
      <c r="C326" s="284"/>
      <c r="D326" s="257"/>
      <c r="E326" s="533"/>
      <c r="F326" s="533"/>
      <c r="G326" s="533"/>
      <c r="H326" s="533"/>
      <c r="I326" s="533"/>
      <c r="J326" s="533"/>
      <c r="K326" s="533"/>
      <c r="L326" s="533"/>
      <c r="M326" s="533"/>
      <c r="N326" s="533"/>
      <c r="O326" s="533"/>
      <c r="P326" s="264"/>
      <c r="Q326" s="256"/>
    </row>
    <row r="327" spans="1:17" ht="12.75" customHeight="1" x14ac:dyDescent="0.35">
      <c r="A327" s="342"/>
      <c r="B327" s="313"/>
      <c r="C327" s="284"/>
      <c r="D327" s="257" t="s">
        <v>48</v>
      </c>
      <c r="E327" s="533" t="s">
        <v>350</v>
      </c>
      <c r="F327" s="533"/>
      <c r="G327" s="533"/>
      <c r="H327" s="533"/>
      <c r="I327" s="533"/>
      <c r="J327" s="533"/>
      <c r="K327" s="533"/>
      <c r="L327" s="533"/>
      <c r="M327" s="533"/>
      <c r="N327" s="533"/>
      <c r="O327" s="533"/>
      <c r="P327" s="264"/>
      <c r="Q327" s="256"/>
    </row>
    <row r="328" spans="1:17" ht="12.75" customHeight="1" x14ac:dyDescent="0.35">
      <c r="A328" s="342"/>
      <c r="B328" s="313"/>
      <c r="C328" s="284"/>
      <c r="D328" s="257"/>
      <c r="E328" s="533"/>
      <c r="F328" s="533"/>
      <c r="G328" s="533"/>
      <c r="H328" s="533"/>
      <c r="I328" s="533"/>
      <c r="J328" s="533"/>
      <c r="K328" s="533"/>
      <c r="L328" s="533"/>
      <c r="M328" s="533"/>
      <c r="N328" s="533"/>
      <c r="O328" s="533"/>
      <c r="P328" s="264"/>
      <c r="Q328" s="256"/>
    </row>
    <row r="329" spans="1:17" ht="12.75" customHeight="1" x14ac:dyDescent="0.35">
      <c r="A329" s="342"/>
      <c r="B329" s="313"/>
      <c r="C329" s="284"/>
      <c r="D329" s="257" t="s">
        <v>49</v>
      </c>
      <c r="E329" s="533" t="str">
        <f>CONCATENATE("All visits for whatever purpose are included.  Where theatres or lecture halls are an integral part of the library premises or where activities take place when the library is closed, visits are only ",,"counted if part of a programme sponsored by the library, i.e. if space is hired by another department or organisation for its own purposes, such visits are included in line ",Questionnaire!B239,";")</f>
        <v>All visits for whatever purpose are included.  Where theatres or lecture halls are an integral part of the library premises or where activities take place when the library is closed, visits are only counted if part of a programme sponsored by the library, i.e. if space is hired by another department or organisation for its own purposes, such visits are included in line 95;</v>
      </c>
      <c r="F329" s="533"/>
      <c r="G329" s="533"/>
      <c r="H329" s="533"/>
      <c r="I329" s="533"/>
      <c r="J329" s="533"/>
      <c r="K329" s="533"/>
      <c r="L329" s="533"/>
      <c r="M329" s="533"/>
      <c r="N329" s="533"/>
      <c r="O329" s="533"/>
      <c r="P329" s="264"/>
      <c r="Q329" s="256"/>
    </row>
    <row r="330" spans="1:17" ht="12.75" customHeight="1" x14ac:dyDescent="0.35">
      <c r="A330" s="342"/>
      <c r="B330" s="313"/>
      <c r="C330" s="284"/>
      <c r="D330" s="257"/>
      <c r="E330" s="533"/>
      <c r="F330" s="533"/>
      <c r="G330" s="533"/>
      <c r="H330" s="533"/>
      <c r="I330" s="533"/>
      <c r="J330" s="533"/>
      <c r="K330" s="533"/>
      <c r="L330" s="533"/>
      <c r="M330" s="533"/>
      <c r="N330" s="533"/>
      <c r="O330" s="533"/>
      <c r="P330" s="264"/>
      <c r="Q330" s="256"/>
    </row>
    <row r="331" spans="1:17" ht="12.75" customHeight="1" x14ac:dyDescent="0.35">
      <c r="A331" s="342"/>
      <c r="B331" s="313"/>
      <c r="C331" s="284"/>
      <c r="D331" s="257"/>
      <c r="E331" s="533"/>
      <c r="F331" s="533"/>
      <c r="G331" s="533"/>
      <c r="H331" s="533"/>
      <c r="I331" s="533"/>
      <c r="J331" s="533"/>
      <c r="K331" s="533"/>
      <c r="L331" s="533"/>
      <c r="M331" s="533"/>
      <c r="N331" s="533"/>
      <c r="O331" s="533"/>
      <c r="P331" s="264"/>
      <c r="Q331" s="256"/>
    </row>
    <row r="332" spans="1:17" ht="9.75" customHeight="1" x14ac:dyDescent="0.35">
      <c r="A332" s="342"/>
      <c r="B332" s="313"/>
      <c r="C332" s="284"/>
      <c r="D332" s="257"/>
      <c r="E332" s="533"/>
      <c r="F332" s="533"/>
      <c r="G332" s="533"/>
      <c r="H332" s="533"/>
      <c r="I332" s="533"/>
      <c r="J332" s="533"/>
      <c r="K332" s="533"/>
      <c r="L332" s="533"/>
      <c r="M332" s="533"/>
      <c r="N332" s="533"/>
      <c r="O332" s="533"/>
      <c r="P332" s="264"/>
      <c r="Q332" s="256"/>
    </row>
    <row r="333" spans="1:17" ht="12.75" customHeight="1" x14ac:dyDescent="0.35">
      <c r="A333" s="342"/>
      <c r="B333" s="319"/>
      <c r="C333" s="284"/>
      <c r="D333" s="301" t="s">
        <v>50</v>
      </c>
      <c r="E333" s="532" t="str">
        <f>CONCATENATE("Where non-library services are included within the service point, please count visitors who do not use any of the library services separately and include in the estimate for line ",Questionnaire!B239,";")</f>
        <v>Where non-library services are included within the service point, please count visitors who do not use any of the library services separately and include in the estimate for line 95;</v>
      </c>
      <c r="F333" s="532"/>
      <c r="G333" s="532"/>
      <c r="H333" s="532"/>
      <c r="I333" s="532"/>
      <c r="J333" s="532"/>
      <c r="K333" s="532"/>
      <c r="L333" s="532"/>
      <c r="M333" s="532"/>
      <c r="N333" s="532"/>
      <c r="O333" s="532"/>
      <c r="P333" s="264"/>
      <c r="Q333" s="256"/>
    </row>
    <row r="334" spans="1:17" ht="12.75" customHeight="1" x14ac:dyDescent="0.35">
      <c r="A334" s="342"/>
      <c r="B334" s="319"/>
      <c r="C334" s="284"/>
      <c r="D334" s="301"/>
      <c r="E334" s="532"/>
      <c r="F334" s="532"/>
      <c r="G334" s="532"/>
      <c r="H334" s="532"/>
      <c r="I334" s="532"/>
      <c r="J334" s="532"/>
      <c r="K334" s="532"/>
      <c r="L334" s="532"/>
      <c r="M334" s="532"/>
      <c r="N334" s="532"/>
      <c r="O334" s="532"/>
      <c r="P334" s="264"/>
      <c r="Q334" s="256"/>
    </row>
    <row r="335" spans="1:17" ht="12.75" customHeight="1" x14ac:dyDescent="0.35">
      <c r="A335" s="342"/>
      <c r="B335" s="319"/>
      <c r="C335" s="284"/>
      <c r="D335" s="301" t="s">
        <v>51</v>
      </c>
      <c r="E335" s="532" t="s">
        <v>351</v>
      </c>
      <c r="F335" s="532"/>
      <c r="G335" s="532"/>
      <c r="H335" s="532"/>
      <c r="I335" s="532"/>
      <c r="J335" s="532"/>
      <c r="K335" s="532"/>
      <c r="L335" s="532"/>
      <c r="M335" s="532"/>
      <c r="N335" s="532"/>
      <c r="O335" s="532"/>
      <c r="P335" s="264"/>
      <c r="Q335" s="256"/>
    </row>
    <row r="336" spans="1:17" ht="12.75" customHeight="1" x14ac:dyDescent="0.35">
      <c r="A336" s="342"/>
      <c r="B336" s="319"/>
      <c r="C336" s="284"/>
      <c r="D336" s="301"/>
      <c r="E336" s="532"/>
      <c r="F336" s="532"/>
      <c r="G336" s="532"/>
      <c r="H336" s="532"/>
      <c r="I336" s="532"/>
      <c r="J336" s="532"/>
      <c r="K336" s="532"/>
      <c r="L336" s="532"/>
      <c r="M336" s="532"/>
      <c r="N336" s="532"/>
      <c r="O336" s="532"/>
      <c r="P336" s="264"/>
      <c r="Q336" s="256"/>
    </row>
    <row r="337" spans="1:17" ht="12.75" customHeight="1" x14ac:dyDescent="0.35">
      <c r="A337" s="342"/>
      <c r="B337" s="313"/>
      <c r="C337" s="284"/>
      <c r="D337" s="257"/>
      <c r="E337" s="257"/>
      <c r="F337" s="257"/>
      <c r="G337" s="257"/>
      <c r="H337" s="257"/>
      <c r="I337" s="257"/>
      <c r="J337" s="257"/>
      <c r="K337" s="257"/>
      <c r="L337" s="257"/>
      <c r="M337" s="257"/>
      <c r="N337" s="257"/>
      <c r="O337" s="257"/>
      <c r="P337" s="264"/>
      <c r="Q337" s="256"/>
    </row>
    <row r="338" spans="1:17" ht="12.75" customHeight="1" x14ac:dyDescent="0.35">
      <c r="A338" s="342"/>
      <c r="B338" s="314"/>
      <c r="C338" s="284"/>
      <c r="D338" s="315" t="s">
        <v>352</v>
      </c>
      <c r="E338" s="257"/>
      <c r="F338" s="257"/>
      <c r="G338" s="257"/>
      <c r="H338" s="257"/>
      <c r="I338" s="257"/>
      <c r="J338" s="257"/>
      <c r="K338" s="257"/>
      <c r="L338" s="257"/>
      <c r="M338" s="257"/>
      <c r="N338" s="257"/>
      <c r="O338" s="257"/>
      <c r="P338" s="264"/>
      <c r="Q338" s="256"/>
    </row>
    <row r="339" spans="1:17" ht="12.75" customHeight="1" x14ac:dyDescent="0.35">
      <c r="A339" s="342"/>
      <c r="B339" s="313"/>
      <c r="C339" s="284"/>
      <c r="D339" s="257"/>
      <c r="E339" s="257"/>
      <c r="F339" s="257"/>
      <c r="G339" s="257"/>
      <c r="H339" s="257"/>
      <c r="I339" s="257"/>
      <c r="J339" s="257"/>
      <c r="K339" s="257"/>
      <c r="L339" s="257"/>
      <c r="M339" s="257"/>
      <c r="N339" s="257"/>
      <c r="O339" s="257"/>
      <c r="P339" s="264"/>
      <c r="Q339" s="256"/>
    </row>
    <row r="340" spans="1:17" ht="12.75" customHeight="1" x14ac:dyDescent="0.35">
      <c r="A340" s="342"/>
      <c r="B340" s="269"/>
      <c r="C340" s="284"/>
      <c r="D340" s="541" t="str">
        <f>CONCATENATE("NB. Authorities may if they wish, base their figures on a larger statistical sample than the one suggested by CIPFA.  Please indicate if this is the case at line ",Questionnaire!B245,".")</f>
        <v>NB. Authorities may if they wish, base their figures on a larger statistical sample than the one suggested by CIPFA.  Please indicate if this is the case at line 96.</v>
      </c>
      <c r="E340" s="541"/>
      <c r="F340" s="541"/>
      <c r="G340" s="541"/>
      <c r="H340" s="541"/>
      <c r="I340" s="541"/>
      <c r="J340" s="541"/>
      <c r="K340" s="541"/>
      <c r="L340" s="541"/>
      <c r="M340" s="541"/>
      <c r="N340" s="541"/>
      <c r="O340" s="541"/>
      <c r="P340" s="264"/>
      <c r="Q340" s="256"/>
    </row>
    <row r="341" spans="1:17" ht="12.75" customHeight="1" x14ac:dyDescent="0.35">
      <c r="A341" s="342"/>
      <c r="B341" s="269"/>
      <c r="C341" s="284"/>
      <c r="D341" s="541"/>
      <c r="E341" s="541"/>
      <c r="F341" s="541"/>
      <c r="G341" s="541"/>
      <c r="H341" s="541"/>
      <c r="I341" s="541"/>
      <c r="J341" s="541"/>
      <c r="K341" s="541"/>
      <c r="L341" s="541"/>
      <c r="M341" s="541"/>
      <c r="N341" s="541"/>
      <c r="O341" s="541"/>
      <c r="P341" s="264"/>
      <c r="Q341" s="256"/>
    </row>
    <row r="342" spans="1:17" ht="12.75" customHeight="1" x14ac:dyDescent="0.35">
      <c r="A342" s="342"/>
      <c r="B342" s="320"/>
      <c r="C342" s="284"/>
      <c r="D342" s="321"/>
      <c r="E342" s="321"/>
      <c r="F342" s="321"/>
      <c r="G342" s="321"/>
      <c r="H342" s="321"/>
      <c r="I342" s="321"/>
      <c r="J342" s="321"/>
      <c r="K342" s="321"/>
      <c r="L342" s="321"/>
      <c r="M342" s="321"/>
      <c r="N342" s="321"/>
      <c r="O342" s="321"/>
      <c r="P342" s="264"/>
      <c r="Q342" s="256"/>
    </row>
    <row r="343" spans="1:17" ht="12.75" customHeight="1" x14ac:dyDescent="0.35">
      <c r="A343" s="342"/>
      <c r="B343" s="269"/>
      <c r="C343" s="284">
        <f>Questionnaire!B239</f>
        <v>95</v>
      </c>
      <c r="D343" s="533" t="s">
        <v>353</v>
      </c>
      <c r="E343" s="533"/>
      <c r="F343" s="533"/>
      <c r="G343" s="533"/>
      <c r="H343" s="533"/>
      <c r="I343" s="533"/>
      <c r="J343" s="533"/>
      <c r="K343" s="533"/>
      <c r="L343" s="533"/>
      <c r="M343" s="533"/>
      <c r="N343" s="533"/>
      <c r="O343" s="533"/>
      <c r="P343" s="264"/>
      <c r="Q343" s="256"/>
    </row>
    <row r="344" spans="1:17" ht="12.75" customHeight="1" x14ac:dyDescent="0.35">
      <c r="A344" s="342"/>
      <c r="B344" s="269"/>
      <c r="C344" s="284"/>
      <c r="D344" s="533"/>
      <c r="E344" s="533"/>
      <c r="F344" s="533"/>
      <c r="G344" s="533"/>
      <c r="H344" s="533"/>
      <c r="I344" s="533"/>
      <c r="J344" s="533"/>
      <c r="K344" s="533"/>
      <c r="L344" s="533"/>
      <c r="M344" s="533"/>
      <c r="N344" s="533"/>
      <c r="O344" s="533"/>
      <c r="P344" s="264"/>
      <c r="Q344" s="256"/>
    </row>
    <row r="345" spans="1:17" ht="12.75" customHeight="1" x14ac:dyDescent="0.35">
      <c r="A345" s="342"/>
      <c r="B345" s="269"/>
      <c r="C345" s="284"/>
      <c r="D345" s="533"/>
      <c r="E345" s="533"/>
      <c r="F345" s="533"/>
      <c r="G345" s="533"/>
      <c r="H345" s="533"/>
      <c r="I345" s="533"/>
      <c r="J345" s="533"/>
      <c r="K345" s="533"/>
      <c r="L345" s="533"/>
      <c r="M345" s="533"/>
      <c r="N345" s="533"/>
      <c r="O345" s="533"/>
      <c r="P345" s="264"/>
      <c r="Q345" s="256"/>
    </row>
    <row r="346" spans="1:17" ht="12.75" customHeight="1" x14ac:dyDescent="0.35">
      <c r="A346" s="342"/>
      <c r="B346" s="269"/>
      <c r="C346" s="284"/>
      <c r="D346" s="533"/>
      <c r="E346" s="533"/>
      <c r="F346" s="533"/>
      <c r="G346" s="533"/>
      <c r="H346" s="533"/>
      <c r="I346" s="533"/>
      <c r="J346" s="533"/>
      <c r="K346" s="533"/>
      <c r="L346" s="533"/>
      <c r="M346" s="533"/>
      <c r="N346" s="533"/>
      <c r="O346" s="533"/>
      <c r="P346" s="264"/>
      <c r="Q346" s="256"/>
    </row>
    <row r="347" spans="1:17" ht="12.75" customHeight="1" x14ac:dyDescent="0.35">
      <c r="A347" s="342"/>
      <c r="B347" s="269"/>
      <c r="C347" s="284"/>
      <c r="D347" s="533"/>
      <c r="E347" s="533"/>
      <c r="F347" s="533"/>
      <c r="G347" s="533"/>
      <c r="H347" s="533"/>
      <c r="I347" s="533"/>
      <c r="J347" s="533"/>
      <c r="K347" s="533"/>
      <c r="L347" s="533"/>
      <c r="M347" s="533"/>
      <c r="N347" s="533"/>
      <c r="O347" s="533"/>
      <c r="P347" s="264"/>
      <c r="Q347" s="256"/>
    </row>
    <row r="348" spans="1:17" ht="12.75" customHeight="1" x14ac:dyDescent="0.35">
      <c r="A348" s="342"/>
      <c r="B348" s="269"/>
      <c r="C348" s="284"/>
      <c r="D348" s="533"/>
      <c r="E348" s="533"/>
      <c r="F348" s="533"/>
      <c r="G348" s="533"/>
      <c r="H348" s="533"/>
      <c r="I348" s="533"/>
      <c r="J348" s="533"/>
      <c r="K348" s="533"/>
      <c r="L348" s="533"/>
      <c r="M348" s="533"/>
      <c r="N348" s="533"/>
      <c r="O348" s="533"/>
      <c r="P348" s="264"/>
      <c r="Q348" s="256"/>
    </row>
    <row r="349" spans="1:17" ht="12.75" customHeight="1" x14ac:dyDescent="0.35">
      <c r="A349" s="342"/>
      <c r="B349" s="269"/>
      <c r="C349" s="284"/>
      <c r="D349" s="533"/>
      <c r="E349" s="533"/>
      <c r="F349" s="533"/>
      <c r="G349" s="533"/>
      <c r="H349" s="533"/>
      <c r="I349" s="533"/>
      <c r="J349" s="533"/>
      <c r="K349" s="533"/>
      <c r="L349" s="533"/>
      <c r="M349" s="533"/>
      <c r="N349" s="533"/>
      <c r="O349" s="533"/>
      <c r="P349" s="264"/>
      <c r="Q349" s="256"/>
    </row>
    <row r="350" spans="1:17" ht="12.75" customHeight="1" x14ac:dyDescent="0.35">
      <c r="A350" s="342"/>
      <c r="B350" s="269"/>
      <c r="C350" s="284"/>
      <c r="D350" s="533" t="e">
        <f>CONCATENATE("If your authority has no service points with such set-up please enter zero in this cell.  If no exact figures are available please enter the most accurate estimate, visits included in line ",Questionnaire!B233," should NOT be included also in line ",Questionnaire!B239," for ",Year,"-",Year-1999," Actuals.")</f>
        <v>#REF!</v>
      </c>
      <c r="E350" s="533"/>
      <c r="F350" s="533"/>
      <c r="G350" s="533"/>
      <c r="H350" s="533"/>
      <c r="I350" s="533"/>
      <c r="J350" s="533"/>
      <c r="K350" s="533"/>
      <c r="L350" s="533"/>
      <c r="M350" s="533"/>
      <c r="N350" s="533"/>
      <c r="O350" s="533"/>
      <c r="P350" s="264"/>
      <c r="Q350" s="256"/>
    </row>
    <row r="351" spans="1:17" ht="12.75" customHeight="1" x14ac:dyDescent="0.35">
      <c r="A351" s="342"/>
      <c r="B351" s="269"/>
      <c r="C351" s="284"/>
      <c r="D351" s="533"/>
      <c r="E351" s="533"/>
      <c r="F351" s="533"/>
      <c r="G351" s="533"/>
      <c r="H351" s="533"/>
      <c r="I351" s="533"/>
      <c r="J351" s="533"/>
      <c r="K351" s="533"/>
      <c r="L351" s="533"/>
      <c r="M351" s="533"/>
      <c r="N351" s="533"/>
      <c r="O351" s="533"/>
      <c r="P351" s="264"/>
      <c r="Q351" s="256"/>
    </row>
    <row r="352" spans="1:17" ht="12.75" customHeight="1" x14ac:dyDescent="0.35">
      <c r="A352" s="342"/>
      <c r="B352" s="269"/>
      <c r="C352" s="284"/>
      <c r="D352" s="533"/>
      <c r="E352" s="533"/>
      <c r="F352" s="533"/>
      <c r="G352" s="533"/>
      <c r="H352" s="533"/>
      <c r="I352" s="533"/>
      <c r="J352" s="533"/>
      <c r="K352" s="533"/>
      <c r="L352" s="533"/>
      <c r="M352" s="533"/>
      <c r="N352" s="533"/>
      <c r="O352" s="533"/>
      <c r="P352" s="264"/>
      <c r="Q352" s="256"/>
    </row>
    <row r="353" spans="1:17" ht="12.75" customHeight="1" thickBot="1" x14ac:dyDescent="0.4">
      <c r="A353" s="342"/>
      <c r="B353" s="289"/>
      <c r="C353" s="290"/>
      <c r="D353" s="311"/>
      <c r="E353" s="311"/>
      <c r="F353" s="311"/>
      <c r="G353" s="311"/>
      <c r="H353" s="311"/>
      <c r="I353" s="311"/>
      <c r="J353" s="311"/>
      <c r="K353" s="311"/>
      <c r="L353" s="311"/>
      <c r="M353" s="311"/>
      <c r="N353" s="311"/>
      <c r="O353" s="311"/>
      <c r="P353" s="292"/>
      <c r="Q353" s="256"/>
    </row>
    <row r="354" spans="1:17" ht="5.25" customHeight="1" x14ac:dyDescent="0.35">
      <c r="A354" s="342"/>
      <c r="B354" s="293"/>
      <c r="C354" s="294"/>
      <c r="D354" s="295"/>
      <c r="E354" s="295"/>
      <c r="F354" s="295"/>
      <c r="G354" s="295"/>
      <c r="H354" s="295"/>
      <c r="I354" s="295"/>
      <c r="J354" s="295"/>
      <c r="K354" s="295"/>
      <c r="L354" s="295"/>
      <c r="M354" s="295"/>
      <c r="N354" s="295"/>
      <c r="O354" s="295"/>
      <c r="P354" s="296"/>
      <c r="Q354" s="256"/>
    </row>
    <row r="355" spans="1:17" ht="12.75" customHeight="1" x14ac:dyDescent="0.35">
      <c r="A355" s="342"/>
      <c r="B355" s="287"/>
      <c r="C355" s="284">
        <f>Questionnaire!B252</f>
        <v>98</v>
      </c>
      <c r="D355" s="288" t="s">
        <v>170</v>
      </c>
      <c r="E355" s="256"/>
      <c r="F355" s="256"/>
      <c r="G355" s="256"/>
      <c r="H355" s="256"/>
      <c r="I355" s="256"/>
      <c r="J355" s="256"/>
      <c r="K355" s="256"/>
      <c r="L355" s="256"/>
      <c r="M355" s="256"/>
      <c r="N355" s="256"/>
      <c r="O355" s="256"/>
      <c r="P355" s="264"/>
      <c r="Q355" s="256"/>
    </row>
    <row r="356" spans="1:17" ht="12.75" customHeight="1" x14ac:dyDescent="0.35">
      <c r="A356" s="342"/>
      <c r="B356" s="269"/>
      <c r="C356" s="284"/>
      <c r="D356" s="533" t="s">
        <v>354</v>
      </c>
      <c r="E356" s="533"/>
      <c r="F356" s="533"/>
      <c r="G356" s="533"/>
      <c r="H356" s="533"/>
      <c r="I356" s="533"/>
      <c r="J356" s="533"/>
      <c r="K356" s="533"/>
      <c r="L356" s="533"/>
      <c r="M356" s="533"/>
      <c r="N356" s="533"/>
      <c r="O356" s="533"/>
      <c r="P356" s="264"/>
      <c r="Q356" s="256"/>
    </row>
    <row r="357" spans="1:17" ht="12.75" customHeight="1" x14ac:dyDescent="0.35">
      <c r="A357" s="342"/>
      <c r="B357" s="269"/>
      <c r="C357" s="284"/>
      <c r="D357" s="533"/>
      <c r="E357" s="533"/>
      <c r="F357" s="533"/>
      <c r="G357" s="533"/>
      <c r="H357" s="533"/>
      <c r="I357" s="533"/>
      <c r="J357" s="533"/>
      <c r="K357" s="533"/>
      <c r="L357" s="533"/>
      <c r="M357" s="533"/>
      <c r="N357" s="533"/>
      <c r="O357" s="533"/>
      <c r="P357" s="264"/>
      <c r="Q357" s="256"/>
    </row>
    <row r="358" spans="1:17" ht="12.75" customHeight="1" x14ac:dyDescent="0.35">
      <c r="A358" s="342"/>
      <c r="B358" s="269"/>
      <c r="C358" s="284"/>
      <c r="D358" s="533"/>
      <c r="E358" s="533"/>
      <c r="F358" s="533"/>
      <c r="G358" s="533"/>
      <c r="H358" s="533"/>
      <c r="I358" s="533"/>
      <c r="J358" s="533"/>
      <c r="K358" s="533"/>
      <c r="L358" s="533"/>
      <c r="M358" s="533"/>
      <c r="N358" s="533"/>
      <c r="O358" s="533"/>
      <c r="P358" s="264"/>
      <c r="Q358" s="256"/>
    </row>
    <row r="359" spans="1:17" ht="12.75" customHeight="1" x14ac:dyDescent="0.35">
      <c r="A359" s="342"/>
      <c r="B359" s="269"/>
      <c r="C359" s="284"/>
      <c r="D359" s="533"/>
      <c r="E359" s="533"/>
      <c r="F359" s="533"/>
      <c r="G359" s="533"/>
      <c r="H359" s="533"/>
      <c r="I359" s="533"/>
      <c r="J359" s="533"/>
      <c r="K359" s="533"/>
      <c r="L359" s="533"/>
      <c r="M359" s="533"/>
      <c r="N359" s="533"/>
      <c r="O359" s="533"/>
      <c r="P359" s="264"/>
      <c r="Q359" s="256"/>
    </row>
    <row r="360" spans="1:17" ht="12.75" customHeight="1" x14ac:dyDescent="0.35">
      <c r="A360" s="342"/>
      <c r="B360" s="269"/>
      <c r="C360" s="284"/>
      <c r="D360" s="533"/>
      <c r="E360" s="533"/>
      <c r="F360" s="533"/>
      <c r="G360" s="533"/>
      <c r="H360" s="533"/>
      <c r="I360" s="533"/>
      <c r="J360" s="533"/>
      <c r="K360" s="533"/>
      <c r="L360" s="533"/>
      <c r="M360" s="533"/>
      <c r="N360" s="533"/>
      <c r="O360" s="533"/>
      <c r="P360" s="264"/>
      <c r="Q360" s="256"/>
    </row>
    <row r="361" spans="1:17" ht="12.75" customHeight="1" x14ac:dyDescent="0.35">
      <c r="A361" s="256"/>
      <c r="B361" s="269"/>
      <c r="C361" s="284"/>
      <c r="D361" s="256"/>
      <c r="E361" s="256"/>
      <c r="F361" s="256"/>
      <c r="G361" s="256"/>
      <c r="H361" s="256"/>
      <c r="I361" s="256"/>
      <c r="J361" s="256"/>
      <c r="K361" s="256"/>
      <c r="L361" s="256"/>
      <c r="M361" s="256"/>
      <c r="N361" s="256"/>
      <c r="O361" s="256"/>
      <c r="P361" s="264"/>
      <c r="Q361" s="256"/>
    </row>
    <row r="362" spans="1:17" ht="12.75" customHeight="1" x14ac:dyDescent="0.35">
      <c r="A362" s="342"/>
      <c r="B362" s="283"/>
      <c r="C362" s="284"/>
      <c r="D362" s="285" t="s">
        <v>355</v>
      </c>
      <c r="E362" s="256"/>
      <c r="F362" s="256"/>
      <c r="G362" s="256"/>
      <c r="H362" s="256"/>
      <c r="I362" s="256"/>
      <c r="J362" s="256"/>
      <c r="K362" s="256"/>
      <c r="L362" s="256"/>
      <c r="M362" s="256"/>
      <c r="N362" s="256"/>
      <c r="O362" s="256"/>
      <c r="P362" s="264"/>
      <c r="Q362" s="256"/>
    </row>
    <row r="363" spans="1:17" ht="12.75" customHeight="1" x14ac:dyDescent="0.35">
      <c r="A363" s="342"/>
      <c r="B363" s="269"/>
      <c r="C363" s="284"/>
      <c r="D363" s="256"/>
      <c r="E363" s="256"/>
      <c r="F363" s="256"/>
      <c r="G363" s="256"/>
      <c r="H363" s="256"/>
      <c r="I363" s="256"/>
      <c r="J363" s="256"/>
      <c r="K363" s="256"/>
      <c r="L363" s="256"/>
      <c r="M363" s="256"/>
      <c r="N363" s="256"/>
      <c r="O363" s="256"/>
      <c r="P363" s="264"/>
      <c r="Q363" s="256"/>
    </row>
    <row r="364" spans="1:17" ht="12.75" customHeight="1" x14ac:dyDescent="0.35">
      <c r="A364" s="342"/>
      <c r="B364" s="287"/>
      <c r="C364" s="284" t="str">
        <f>CONCATENATE(Questionnaire!B257," &amp; ",Questionnaire!B258)</f>
        <v>99 &amp; 100</v>
      </c>
      <c r="D364" s="288" t="s">
        <v>356</v>
      </c>
      <c r="E364" s="256"/>
      <c r="F364" s="256"/>
      <c r="G364" s="256"/>
      <c r="H364" s="256"/>
      <c r="I364" s="256"/>
      <c r="J364" s="256"/>
      <c r="K364" s="256"/>
      <c r="L364" s="256"/>
      <c r="M364" s="256"/>
      <c r="N364" s="256"/>
      <c r="O364" s="256"/>
      <c r="P364" s="264"/>
      <c r="Q364" s="256"/>
    </row>
    <row r="365" spans="1:17" ht="12.75" customHeight="1" x14ac:dyDescent="0.35">
      <c r="A365" s="342"/>
      <c r="B365" s="269"/>
      <c r="C365" s="284"/>
      <c r="D365" s="533" t="s">
        <v>357</v>
      </c>
      <c r="E365" s="533"/>
      <c r="F365" s="533"/>
      <c r="G365" s="533"/>
      <c r="H365" s="533"/>
      <c r="I365" s="533"/>
      <c r="J365" s="533"/>
      <c r="K365" s="533"/>
      <c r="L365" s="533"/>
      <c r="M365" s="533"/>
      <c r="N365" s="533"/>
      <c r="O365" s="533"/>
      <c r="P365" s="264"/>
      <c r="Q365" s="256"/>
    </row>
    <row r="366" spans="1:17" ht="12.75" customHeight="1" x14ac:dyDescent="0.35">
      <c r="A366" s="342"/>
      <c r="B366" s="269"/>
      <c r="C366" s="284"/>
      <c r="D366" s="533"/>
      <c r="E366" s="533"/>
      <c r="F366" s="533"/>
      <c r="G366" s="533"/>
      <c r="H366" s="533"/>
      <c r="I366" s="533"/>
      <c r="J366" s="533"/>
      <c r="K366" s="533"/>
      <c r="L366" s="533"/>
      <c r="M366" s="533"/>
      <c r="N366" s="533"/>
      <c r="O366" s="533"/>
      <c r="P366" s="264"/>
      <c r="Q366" s="256"/>
    </row>
    <row r="367" spans="1:17" ht="12.75" customHeight="1" x14ac:dyDescent="0.35">
      <c r="A367" s="342"/>
      <c r="B367" s="269"/>
      <c r="C367" s="284"/>
      <c r="D367" s="533"/>
      <c r="E367" s="533"/>
      <c r="F367" s="533"/>
      <c r="G367" s="533"/>
      <c r="H367" s="533"/>
      <c r="I367" s="533"/>
      <c r="J367" s="533"/>
      <c r="K367" s="533"/>
      <c r="L367" s="533"/>
      <c r="M367" s="533"/>
      <c r="N367" s="533"/>
      <c r="O367" s="533"/>
      <c r="P367" s="264"/>
      <c r="Q367" s="256"/>
    </row>
    <row r="368" spans="1:17" ht="12.75" customHeight="1" x14ac:dyDescent="0.35">
      <c r="A368" s="256"/>
      <c r="B368" s="269"/>
      <c r="C368" s="284"/>
      <c r="D368" s="256"/>
      <c r="E368" s="256"/>
      <c r="F368" s="256"/>
      <c r="G368" s="256"/>
      <c r="H368" s="256"/>
      <c r="I368" s="256"/>
      <c r="J368" s="256"/>
      <c r="K368" s="256"/>
      <c r="L368" s="256"/>
      <c r="M368" s="256"/>
      <c r="N368" s="256"/>
      <c r="O368" s="256"/>
      <c r="P368" s="264"/>
      <c r="Q368" s="256"/>
    </row>
    <row r="369" spans="1:17" ht="12.75" customHeight="1" x14ac:dyDescent="0.35">
      <c r="A369" s="342"/>
      <c r="B369" s="322"/>
      <c r="C369" s="284"/>
      <c r="D369" s="323" t="e">
        <f>CONCATENATE("Section 12 - Financial Information ",Year,"-",Year-1999," Outturn and ",Year+1,"-",Year-1998," Estimates")</f>
        <v>#REF!</v>
      </c>
      <c r="E369" s="256"/>
      <c r="F369" s="256"/>
      <c r="G369" s="256"/>
      <c r="H369" s="256"/>
      <c r="I369" s="256"/>
      <c r="J369" s="256"/>
      <c r="K369" s="256"/>
      <c r="L369" s="256"/>
      <c r="M369" s="256"/>
      <c r="N369" s="256"/>
      <c r="O369" s="256"/>
      <c r="P369" s="264"/>
      <c r="Q369" s="256"/>
    </row>
    <row r="370" spans="1:17" ht="12.75" customHeight="1" x14ac:dyDescent="0.35">
      <c r="A370" s="342"/>
      <c r="B370" s="269"/>
      <c r="C370" s="284"/>
      <c r="D370" s="256"/>
      <c r="E370" s="256"/>
      <c r="F370" s="256"/>
      <c r="G370" s="256"/>
      <c r="H370" s="256"/>
      <c r="I370" s="256"/>
      <c r="J370" s="256"/>
      <c r="K370" s="256"/>
      <c r="L370" s="256"/>
      <c r="M370" s="256"/>
      <c r="N370" s="256"/>
      <c r="O370" s="256"/>
      <c r="P370" s="264"/>
      <c r="Q370" s="256"/>
    </row>
    <row r="371" spans="1:17" ht="12.75" customHeight="1" x14ac:dyDescent="0.35">
      <c r="A371" s="342"/>
      <c r="B371" s="283"/>
      <c r="C371" s="284"/>
      <c r="D371" s="285" t="s">
        <v>358</v>
      </c>
      <c r="E371" s="256"/>
      <c r="F371" s="256"/>
      <c r="G371" s="256"/>
      <c r="H371" s="256"/>
      <c r="I371" s="256"/>
      <c r="J371" s="256"/>
      <c r="K371" s="256"/>
      <c r="L371" s="256"/>
      <c r="M371" s="256"/>
      <c r="N371" s="256"/>
      <c r="O371" s="256"/>
      <c r="P371" s="264"/>
      <c r="Q371" s="256"/>
    </row>
    <row r="372" spans="1:17" ht="12.75" customHeight="1" x14ac:dyDescent="0.35">
      <c r="A372" s="342"/>
      <c r="B372" s="269"/>
      <c r="C372" s="284"/>
      <c r="D372" s="534" t="s">
        <v>359</v>
      </c>
      <c r="E372" s="534"/>
      <c r="F372" s="534"/>
      <c r="G372" s="534"/>
      <c r="H372" s="534"/>
      <c r="I372" s="534"/>
      <c r="J372" s="534"/>
      <c r="K372" s="534"/>
      <c r="L372" s="534"/>
      <c r="M372" s="534"/>
      <c r="N372" s="534"/>
      <c r="O372" s="534"/>
      <c r="P372" s="264"/>
      <c r="Q372" s="256"/>
    </row>
    <row r="373" spans="1:17" ht="12.75" customHeight="1" x14ac:dyDescent="0.35">
      <c r="A373" s="342"/>
      <c r="B373" s="269"/>
      <c r="C373" s="284"/>
      <c r="D373" s="534"/>
      <c r="E373" s="534"/>
      <c r="F373" s="534"/>
      <c r="G373" s="534"/>
      <c r="H373" s="534"/>
      <c r="I373" s="534"/>
      <c r="J373" s="534"/>
      <c r="K373" s="534"/>
      <c r="L373" s="534"/>
      <c r="M373" s="534"/>
      <c r="N373" s="534"/>
      <c r="O373" s="534"/>
      <c r="P373" s="264"/>
      <c r="Q373" s="256"/>
    </row>
    <row r="374" spans="1:17" ht="12.75" customHeight="1" x14ac:dyDescent="0.35">
      <c r="A374" s="342"/>
      <c r="B374" s="269"/>
      <c r="C374" s="284"/>
      <c r="D374" s="534"/>
      <c r="E374" s="534"/>
      <c r="F374" s="534"/>
      <c r="G374" s="534"/>
      <c r="H374" s="534"/>
      <c r="I374" s="534"/>
      <c r="J374" s="534"/>
      <c r="K374" s="534"/>
      <c r="L374" s="534"/>
      <c r="M374" s="534"/>
      <c r="N374" s="534"/>
      <c r="O374" s="534"/>
      <c r="P374" s="264"/>
      <c r="Q374" s="256"/>
    </row>
    <row r="375" spans="1:17" ht="12.75" customHeight="1" x14ac:dyDescent="0.35">
      <c r="A375" s="342"/>
      <c r="B375" s="269"/>
      <c r="C375" s="284"/>
      <c r="D375" s="534"/>
      <c r="E375" s="534"/>
      <c r="F375" s="534"/>
      <c r="G375" s="534"/>
      <c r="H375" s="534"/>
      <c r="I375" s="534"/>
      <c r="J375" s="534"/>
      <c r="K375" s="534"/>
      <c r="L375" s="534"/>
      <c r="M375" s="534"/>
      <c r="N375" s="534"/>
      <c r="O375" s="534"/>
      <c r="P375" s="264"/>
      <c r="Q375" s="256"/>
    </row>
    <row r="376" spans="1:17" ht="12.75" customHeight="1" x14ac:dyDescent="0.35">
      <c r="A376" s="342"/>
      <c r="B376" s="269"/>
      <c r="C376" s="284"/>
      <c r="D376" s="534"/>
      <c r="E376" s="534"/>
      <c r="F376" s="534"/>
      <c r="G376" s="534"/>
      <c r="H376" s="534"/>
      <c r="I376" s="534"/>
      <c r="J376" s="534"/>
      <c r="K376" s="534"/>
      <c r="L376" s="534"/>
      <c r="M376" s="534"/>
      <c r="N376" s="534"/>
      <c r="O376" s="534"/>
      <c r="P376" s="264"/>
      <c r="Q376" s="256"/>
    </row>
    <row r="377" spans="1:17" ht="12.75" customHeight="1" x14ac:dyDescent="0.35">
      <c r="A377" s="342"/>
      <c r="B377" s="269"/>
      <c r="C377" s="284"/>
      <c r="D377" s="534" t="str">
        <f>CONCATENATE("NB. Expenditure funded by grant should be included.  Grant income should be included in line ",Questionnaire!B309,".")</f>
        <v>NB. Expenditure funded by grant should be included.  Grant income should be included in line 134.</v>
      </c>
      <c r="E377" s="534"/>
      <c r="F377" s="534"/>
      <c r="G377" s="534"/>
      <c r="H377" s="534"/>
      <c r="I377" s="534"/>
      <c r="J377" s="534"/>
      <c r="K377" s="534"/>
      <c r="L377" s="534"/>
      <c r="M377" s="534"/>
      <c r="N377" s="534"/>
      <c r="O377" s="534"/>
      <c r="P377" s="264"/>
      <c r="Q377" s="256"/>
    </row>
    <row r="378" spans="1:17" ht="12.75" customHeight="1" x14ac:dyDescent="0.35">
      <c r="A378" s="342"/>
      <c r="B378" s="269"/>
      <c r="C378" s="284"/>
      <c r="D378" s="534"/>
      <c r="E378" s="534"/>
      <c r="F378" s="534"/>
      <c r="G378" s="534"/>
      <c r="H378" s="534"/>
      <c r="I378" s="534"/>
      <c r="J378" s="534"/>
      <c r="K378" s="534"/>
      <c r="L378" s="534"/>
      <c r="M378" s="534"/>
      <c r="N378" s="534"/>
      <c r="O378" s="534"/>
      <c r="P378" s="264"/>
      <c r="Q378" s="256"/>
    </row>
    <row r="379" spans="1:17" ht="12.75" customHeight="1" x14ac:dyDescent="0.35">
      <c r="A379" s="342"/>
      <c r="B379" s="269"/>
      <c r="C379" s="284"/>
      <c r="D379" s="534" t="s">
        <v>360</v>
      </c>
      <c r="E379" s="534"/>
      <c r="F379" s="534"/>
      <c r="G379" s="534"/>
      <c r="H379" s="534"/>
      <c r="I379" s="534"/>
      <c r="J379" s="534"/>
      <c r="K379" s="534"/>
      <c r="L379" s="534"/>
      <c r="M379" s="534"/>
      <c r="N379" s="534"/>
      <c r="O379" s="534"/>
      <c r="P379" s="264"/>
      <c r="Q379" s="256"/>
    </row>
    <row r="380" spans="1:17" ht="12.75" customHeight="1" x14ac:dyDescent="0.35">
      <c r="A380" s="342"/>
      <c r="B380" s="269"/>
      <c r="C380" s="284"/>
      <c r="D380" s="534"/>
      <c r="E380" s="534"/>
      <c r="F380" s="534"/>
      <c r="G380" s="534"/>
      <c r="H380" s="534"/>
      <c r="I380" s="534"/>
      <c r="J380" s="534"/>
      <c r="K380" s="534"/>
      <c r="L380" s="534"/>
      <c r="M380" s="534"/>
      <c r="N380" s="534"/>
      <c r="O380" s="534"/>
      <c r="P380" s="264"/>
      <c r="Q380" s="256"/>
    </row>
    <row r="381" spans="1:17" ht="12.75" customHeight="1" x14ac:dyDescent="0.35">
      <c r="A381" s="342"/>
      <c r="B381" s="269"/>
      <c r="C381" s="284"/>
      <c r="D381" s="534"/>
      <c r="E381" s="534"/>
      <c r="F381" s="534"/>
      <c r="G381" s="534"/>
      <c r="H381" s="534"/>
      <c r="I381" s="534"/>
      <c r="J381" s="534"/>
      <c r="K381" s="534"/>
      <c r="L381" s="534"/>
      <c r="M381" s="534"/>
      <c r="N381" s="534"/>
      <c r="O381" s="534"/>
      <c r="P381" s="264"/>
      <c r="Q381" s="256"/>
    </row>
    <row r="382" spans="1:17" ht="12.75" customHeight="1" x14ac:dyDescent="0.35">
      <c r="A382" s="342"/>
      <c r="B382" s="269"/>
      <c r="C382" s="284"/>
      <c r="D382" s="541" t="s">
        <v>361</v>
      </c>
      <c r="E382" s="541"/>
      <c r="F382" s="541"/>
      <c r="G382" s="541"/>
      <c r="H382" s="541"/>
      <c r="I382" s="541"/>
      <c r="J382" s="541"/>
      <c r="K382" s="541"/>
      <c r="L382" s="541"/>
      <c r="M382" s="541"/>
      <c r="N382" s="541"/>
      <c r="O382" s="541"/>
      <c r="P382" s="264"/>
      <c r="Q382" s="256"/>
    </row>
    <row r="383" spans="1:17" ht="12.75" customHeight="1" x14ac:dyDescent="0.35">
      <c r="A383" s="342"/>
      <c r="B383" s="269"/>
      <c r="C383" s="284"/>
      <c r="D383" s="541"/>
      <c r="E383" s="541"/>
      <c r="F383" s="541"/>
      <c r="G383" s="541"/>
      <c r="H383" s="541"/>
      <c r="I383" s="541"/>
      <c r="J383" s="541"/>
      <c r="K383" s="541"/>
      <c r="L383" s="541"/>
      <c r="M383" s="541"/>
      <c r="N383" s="541"/>
      <c r="O383" s="541"/>
      <c r="P383" s="264"/>
      <c r="Q383" s="256"/>
    </row>
    <row r="384" spans="1:17" ht="12.75" customHeight="1" x14ac:dyDescent="0.35">
      <c r="A384" s="342"/>
      <c r="B384" s="269"/>
      <c r="C384" s="284"/>
      <c r="D384" s="541"/>
      <c r="E384" s="541"/>
      <c r="F384" s="541"/>
      <c r="G384" s="541"/>
      <c r="H384" s="541"/>
      <c r="I384" s="541"/>
      <c r="J384" s="541"/>
      <c r="K384" s="541"/>
      <c r="L384" s="541"/>
      <c r="M384" s="541"/>
      <c r="N384" s="541"/>
      <c r="O384" s="541"/>
      <c r="P384" s="264"/>
      <c r="Q384" s="256"/>
    </row>
    <row r="385" spans="1:17" ht="12.75" customHeight="1" x14ac:dyDescent="0.35">
      <c r="A385" s="342"/>
      <c r="B385" s="298"/>
      <c r="C385" s="284"/>
      <c r="D385" s="299"/>
      <c r="E385" s="321"/>
      <c r="F385" s="321"/>
      <c r="G385" s="321"/>
      <c r="H385" s="321"/>
      <c r="I385" s="321"/>
      <c r="J385" s="321"/>
      <c r="K385" s="321"/>
      <c r="L385" s="321"/>
      <c r="M385" s="321"/>
      <c r="N385" s="321"/>
      <c r="O385" s="321"/>
      <c r="P385" s="264"/>
      <c r="Q385" s="256"/>
    </row>
    <row r="386" spans="1:17" ht="12.75" customHeight="1" x14ac:dyDescent="0.35">
      <c r="A386" s="342"/>
      <c r="B386" s="287"/>
      <c r="C386" s="284">
        <f>Questionnaire!B265</f>
        <v>101</v>
      </c>
      <c r="D386" s="288" t="s">
        <v>178</v>
      </c>
      <c r="E386" s="256"/>
      <c r="F386" s="256"/>
      <c r="G386" s="256"/>
      <c r="H386" s="256"/>
      <c r="I386" s="256"/>
      <c r="J386" s="256"/>
      <c r="K386" s="256"/>
      <c r="L386" s="256"/>
      <c r="M386" s="256"/>
      <c r="N386" s="256"/>
      <c r="O386" s="256"/>
      <c r="P386" s="264"/>
      <c r="Q386" s="256"/>
    </row>
    <row r="387" spans="1:17" ht="12.75" customHeight="1" x14ac:dyDescent="0.35">
      <c r="A387" s="342"/>
      <c r="B387" s="269"/>
      <c r="C387" s="284"/>
      <c r="D387" s="532" t="str">
        <f>CONCATENATE("Expenditure incurred on salaries, wages and other related costs (e.g. national insurance, current service pension costs, training costs etc.) of all staff returned at lines ",Questionnaire!B152," and ",Questionnaire!B153,", but excluding the cost of employees directly employed on book binding whose costs should be included at line ",Questionnaire!B288,".")</f>
        <v>Expenditure incurred on salaries, wages and other related costs (e.g. national insurance, current service pension costs, training costs etc.) of all staff returned at lines 64 and 65, but excluding the cost of employees directly employed on book binding whose costs should be included at line 120.</v>
      </c>
      <c r="E387" s="532"/>
      <c r="F387" s="532"/>
      <c r="G387" s="532"/>
      <c r="H387" s="532"/>
      <c r="I387" s="532"/>
      <c r="J387" s="532"/>
      <c r="K387" s="532"/>
      <c r="L387" s="532"/>
      <c r="M387" s="532"/>
      <c r="N387" s="532"/>
      <c r="O387" s="532"/>
      <c r="P387" s="264"/>
      <c r="Q387" s="256"/>
    </row>
    <row r="388" spans="1:17" ht="12.75" customHeight="1" x14ac:dyDescent="0.35">
      <c r="A388" s="342"/>
      <c r="B388" s="269"/>
      <c r="C388" s="284"/>
      <c r="D388" s="532"/>
      <c r="E388" s="532"/>
      <c r="F388" s="532"/>
      <c r="G388" s="532"/>
      <c r="H388" s="532"/>
      <c r="I388" s="532"/>
      <c r="J388" s="532"/>
      <c r="K388" s="532"/>
      <c r="L388" s="532"/>
      <c r="M388" s="532"/>
      <c r="N388" s="532"/>
      <c r="O388" s="532"/>
      <c r="P388" s="264"/>
      <c r="Q388" s="256"/>
    </row>
    <row r="389" spans="1:17" ht="12.75" customHeight="1" x14ac:dyDescent="0.35">
      <c r="A389" s="342"/>
      <c r="B389" s="269"/>
      <c r="C389" s="284"/>
      <c r="D389" s="532"/>
      <c r="E389" s="532"/>
      <c r="F389" s="532"/>
      <c r="G389" s="532"/>
      <c r="H389" s="532"/>
      <c r="I389" s="532"/>
      <c r="J389" s="532"/>
      <c r="K389" s="532"/>
      <c r="L389" s="532"/>
      <c r="M389" s="532"/>
      <c r="N389" s="532"/>
      <c r="O389" s="532"/>
      <c r="P389" s="264"/>
      <c r="Q389" s="256"/>
    </row>
    <row r="390" spans="1:17" ht="12.75" customHeight="1" x14ac:dyDescent="0.35">
      <c r="A390" s="342"/>
      <c r="B390" s="269"/>
      <c r="C390" s="284"/>
      <c r="D390" s="256"/>
      <c r="E390" s="256"/>
      <c r="F390" s="256"/>
      <c r="G390" s="256"/>
      <c r="H390" s="256"/>
      <c r="I390" s="256"/>
      <c r="J390" s="256"/>
      <c r="K390" s="256"/>
      <c r="L390" s="256"/>
      <c r="M390" s="256"/>
      <c r="N390" s="256"/>
      <c r="O390" s="256"/>
      <c r="P390" s="264"/>
      <c r="Q390" s="256"/>
    </row>
    <row r="391" spans="1:17" ht="12.75" customHeight="1" x14ac:dyDescent="0.35">
      <c r="A391" s="342"/>
      <c r="B391" s="287"/>
      <c r="C391" s="284">
        <f>Questionnaire!B266</f>
        <v>102</v>
      </c>
      <c r="D391" s="288" t="s">
        <v>179</v>
      </c>
      <c r="E391" s="256"/>
      <c r="F391" s="256"/>
      <c r="G391" s="256"/>
      <c r="H391" s="256"/>
      <c r="I391" s="256"/>
      <c r="J391" s="256"/>
      <c r="K391" s="256"/>
      <c r="L391" s="256"/>
      <c r="M391" s="256"/>
      <c r="N391" s="256"/>
      <c r="O391" s="256"/>
      <c r="P391" s="264"/>
      <c r="Q391" s="256"/>
    </row>
    <row r="392" spans="1:17" ht="12.75" customHeight="1" x14ac:dyDescent="0.35">
      <c r="A392" s="342"/>
      <c r="B392" s="269"/>
      <c r="C392" s="284"/>
      <c r="D392" s="532" t="s">
        <v>362</v>
      </c>
      <c r="E392" s="532"/>
      <c r="F392" s="532"/>
      <c r="G392" s="532"/>
      <c r="H392" s="532"/>
      <c r="I392" s="532"/>
      <c r="J392" s="532"/>
      <c r="K392" s="532"/>
      <c r="L392" s="532"/>
      <c r="M392" s="532"/>
      <c r="N392" s="532"/>
      <c r="O392" s="532"/>
      <c r="P392" s="264"/>
      <c r="Q392" s="256"/>
    </row>
    <row r="393" spans="1:17" ht="12.75" customHeight="1" x14ac:dyDescent="0.35">
      <c r="A393" s="342"/>
      <c r="B393" s="269"/>
      <c r="C393" s="284"/>
      <c r="D393" s="532"/>
      <c r="E393" s="532"/>
      <c r="F393" s="532"/>
      <c r="G393" s="532"/>
      <c r="H393" s="532"/>
      <c r="I393" s="532"/>
      <c r="J393" s="532"/>
      <c r="K393" s="532"/>
      <c r="L393" s="532"/>
      <c r="M393" s="532"/>
      <c r="N393" s="532"/>
      <c r="O393" s="532"/>
      <c r="P393" s="264"/>
      <c r="Q393" s="256"/>
    </row>
    <row r="394" spans="1:17" ht="12.75" customHeight="1" x14ac:dyDescent="0.35">
      <c r="A394" s="342"/>
      <c r="B394" s="269"/>
      <c r="C394" s="284"/>
      <c r="D394" s="532"/>
      <c r="E394" s="532"/>
      <c r="F394" s="532"/>
      <c r="G394" s="532"/>
      <c r="H394" s="532"/>
      <c r="I394" s="532"/>
      <c r="J394" s="532"/>
      <c r="K394" s="532"/>
      <c r="L394" s="532"/>
      <c r="M394" s="532"/>
      <c r="N394" s="532"/>
      <c r="O394" s="532"/>
      <c r="P394" s="264"/>
      <c r="Q394" s="256"/>
    </row>
    <row r="395" spans="1:17" ht="12.75" customHeight="1" x14ac:dyDescent="0.35">
      <c r="A395" s="342"/>
      <c r="B395" s="269"/>
      <c r="C395" s="284"/>
      <c r="D395" s="532"/>
      <c r="E395" s="532"/>
      <c r="F395" s="532"/>
      <c r="G395" s="532"/>
      <c r="H395" s="532"/>
      <c r="I395" s="532"/>
      <c r="J395" s="532"/>
      <c r="K395" s="532"/>
      <c r="L395" s="532"/>
      <c r="M395" s="532"/>
      <c r="N395" s="532"/>
      <c r="O395" s="532"/>
      <c r="P395" s="264"/>
      <c r="Q395" s="256"/>
    </row>
    <row r="396" spans="1:17" ht="12.75" customHeight="1" x14ac:dyDescent="0.35">
      <c r="A396" s="342"/>
      <c r="B396" s="269"/>
      <c r="C396" s="284"/>
      <c r="D396" s="532" t="str">
        <f>CONCATENATE("(NB. the costs of administrative buildings including library offices in separate local authority accommodation for multi-service directorates should be included in line ",Questionnaire!B296," Support Services Costs).  NB. Capital Charges are not to be included and should be shown separately at line ",Questionnaire!B323,".")</f>
        <v>(NB. the costs of administrative buildings including library offices in separate local authority accommodation for multi-service directorates should be included in line 126 Support Services Costs).  NB. Capital Charges are not to be included and should be shown separately at line 140.</v>
      </c>
      <c r="E396" s="532"/>
      <c r="F396" s="532"/>
      <c r="G396" s="532"/>
      <c r="H396" s="532"/>
      <c r="I396" s="532"/>
      <c r="J396" s="532"/>
      <c r="K396" s="532"/>
      <c r="L396" s="532"/>
      <c r="M396" s="532"/>
      <c r="N396" s="532"/>
      <c r="O396" s="532"/>
      <c r="P396" s="264"/>
      <c r="Q396" s="256"/>
    </row>
    <row r="397" spans="1:17" ht="12.75" customHeight="1" x14ac:dyDescent="0.35">
      <c r="A397" s="342"/>
      <c r="B397" s="269"/>
      <c r="C397" s="284"/>
      <c r="D397" s="532"/>
      <c r="E397" s="532"/>
      <c r="F397" s="532"/>
      <c r="G397" s="532"/>
      <c r="H397" s="532"/>
      <c r="I397" s="532"/>
      <c r="J397" s="532"/>
      <c r="K397" s="532"/>
      <c r="L397" s="532"/>
      <c r="M397" s="532"/>
      <c r="N397" s="532"/>
      <c r="O397" s="532"/>
      <c r="P397" s="264"/>
      <c r="Q397" s="256"/>
    </row>
    <row r="398" spans="1:17" ht="12.75" customHeight="1" x14ac:dyDescent="0.35">
      <c r="A398" s="342"/>
      <c r="B398" s="269"/>
      <c r="C398" s="284"/>
      <c r="D398" s="532"/>
      <c r="E398" s="532"/>
      <c r="F398" s="532"/>
      <c r="G398" s="532"/>
      <c r="H398" s="532"/>
      <c r="I398" s="532"/>
      <c r="J398" s="532"/>
      <c r="K398" s="532"/>
      <c r="L398" s="532"/>
      <c r="M398" s="532"/>
      <c r="N398" s="532"/>
      <c r="O398" s="532"/>
      <c r="P398" s="264"/>
      <c r="Q398" s="256"/>
    </row>
    <row r="399" spans="1:17" ht="12.75" customHeight="1" x14ac:dyDescent="0.35">
      <c r="A399" s="342"/>
      <c r="B399" s="308"/>
      <c r="C399" s="284"/>
      <c r="D399" s="272"/>
      <c r="E399" s="272"/>
      <c r="F399" s="272"/>
      <c r="G399" s="272"/>
      <c r="H399" s="272"/>
      <c r="I399" s="272"/>
      <c r="J399" s="272"/>
      <c r="K399" s="272"/>
      <c r="L399" s="272"/>
      <c r="M399" s="272"/>
      <c r="N399" s="272"/>
      <c r="O399" s="272"/>
      <c r="P399" s="264"/>
      <c r="Q399" s="256"/>
    </row>
    <row r="400" spans="1:17" ht="12.75" customHeight="1" x14ac:dyDescent="0.35">
      <c r="A400" s="342"/>
      <c r="B400" s="287"/>
      <c r="C400" s="284" t="str">
        <f>CONCATENATE(Questionnaire!B269," to ",Questionnaire!B289)</f>
        <v>103 to 121</v>
      </c>
      <c r="D400" s="288" t="s">
        <v>363</v>
      </c>
      <c r="E400" s="256"/>
      <c r="F400" s="256"/>
      <c r="G400" s="256"/>
      <c r="H400" s="256"/>
      <c r="I400" s="256"/>
      <c r="J400" s="256"/>
      <c r="K400" s="256"/>
      <c r="L400" s="256"/>
      <c r="M400" s="256"/>
      <c r="N400" s="256"/>
      <c r="O400" s="256"/>
      <c r="P400" s="264"/>
      <c r="Q400" s="256"/>
    </row>
    <row r="401" spans="1:17" ht="12.75" customHeight="1" x14ac:dyDescent="0.35">
      <c r="A401" s="342"/>
      <c r="B401" s="269"/>
      <c r="C401" s="284"/>
      <c r="D401" s="532" t="e">
        <f>CONCATENATE("Where books etc. have been acquired under finance leases, the leasing rentals charged to the revenue account in ",Year,"-",Year-1999," should be included in lines ",Questionnaire!B269," to ",Questionnaire!B289," (including ",Year+1,"-",Year-1998," Estimates) as appropriate.  NB. The value of materials purchased through finance leases is not required.")</f>
        <v>#REF!</v>
      </c>
      <c r="E401" s="532"/>
      <c r="F401" s="532"/>
      <c r="G401" s="532"/>
      <c r="H401" s="532"/>
      <c r="I401" s="532"/>
      <c r="J401" s="532"/>
      <c r="K401" s="532"/>
      <c r="L401" s="532"/>
      <c r="M401" s="532"/>
      <c r="N401" s="532"/>
      <c r="O401" s="532"/>
      <c r="P401" s="264"/>
      <c r="Q401" s="256"/>
    </row>
    <row r="402" spans="1:17" ht="12.75" customHeight="1" x14ac:dyDescent="0.35">
      <c r="A402" s="342"/>
      <c r="B402" s="269"/>
      <c r="C402" s="284"/>
      <c r="D402" s="532"/>
      <c r="E402" s="532"/>
      <c r="F402" s="532"/>
      <c r="G402" s="532"/>
      <c r="H402" s="532"/>
      <c r="I402" s="532"/>
      <c r="J402" s="532"/>
      <c r="K402" s="532"/>
      <c r="L402" s="532"/>
      <c r="M402" s="532"/>
      <c r="N402" s="532"/>
      <c r="O402" s="532"/>
      <c r="P402" s="264"/>
      <c r="Q402" s="256"/>
    </row>
    <row r="403" spans="1:17" ht="12.75" customHeight="1" x14ac:dyDescent="0.35">
      <c r="A403" s="342"/>
      <c r="B403" s="269"/>
      <c r="C403" s="284"/>
      <c r="D403" s="532"/>
      <c r="E403" s="532"/>
      <c r="F403" s="532"/>
      <c r="G403" s="532"/>
      <c r="H403" s="532"/>
      <c r="I403" s="532"/>
      <c r="J403" s="532"/>
      <c r="K403" s="532"/>
      <c r="L403" s="532"/>
      <c r="M403" s="532"/>
      <c r="N403" s="532"/>
      <c r="O403" s="532"/>
      <c r="P403" s="264"/>
      <c r="Q403" s="256"/>
    </row>
    <row r="404" spans="1:17" ht="12.75" customHeight="1" x14ac:dyDescent="0.35">
      <c r="A404" s="342"/>
      <c r="B404" s="269"/>
      <c r="C404" s="284"/>
      <c r="D404" s="286"/>
      <c r="E404" s="286"/>
      <c r="F404" s="286"/>
      <c r="G404" s="286"/>
      <c r="H404" s="286"/>
      <c r="I404" s="286"/>
      <c r="J404" s="286"/>
      <c r="K404" s="286"/>
      <c r="L404" s="286"/>
      <c r="M404" s="286"/>
      <c r="N404" s="286"/>
      <c r="O404" s="286"/>
      <c r="P404" s="264"/>
      <c r="Q404" s="256"/>
    </row>
    <row r="405" spans="1:17" ht="12.75" customHeight="1" x14ac:dyDescent="0.35">
      <c r="A405" s="342"/>
      <c r="B405" s="287"/>
      <c r="C405" s="284" t="str">
        <f>CONCATENATE(Questionnaire!B279," to ",Questionnaire!B284)</f>
        <v>112 to 117</v>
      </c>
      <c r="D405" s="288" t="s">
        <v>324</v>
      </c>
      <c r="E405" s="272"/>
      <c r="F405" s="272"/>
      <c r="G405" s="272"/>
      <c r="H405" s="272"/>
      <c r="I405" s="272"/>
      <c r="J405" s="272"/>
      <c r="K405" s="272"/>
      <c r="L405" s="272"/>
      <c r="M405" s="272"/>
      <c r="N405" s="272"/>
      <c r="O405" s="272"/>
      <c r="P405" s="264"/>
      <c r="Q405" s="256"/>
    </row>
    <row r="406" spans="1:17" ht="12.75" customHeight="1" x14ac:dyDescent="0.35">
      <c r="A406" s="342"/>
      <c r="B406" s="269"/>
      <c r="C406" s="284"/>
      <c r="D406" s="533" t="s">
        <v>364</v>
      </c>
      <c r="E406" s="533"/>
      <c r="F406" s="533"/>
      <c r="G406" s="533"/>
      <c r="H406" s="533"/>
      <c r="I406" s="533"/>
      <c r="J406" s="533"/>
      <c r="K406" s="533"/>
      <c r="L406" s="533"/>
      <c r="M406" s="533"/>
      <c r="N406" s="533"/>
      <c r="O406" s="533"/>
      <c r="P406" s="264"/>
      <c r="Q406" s="256"/>
    </row>
    <row r="407" spans="1:17" ht="12.75" customHeight="1" x14ac:dyDescent="0.35">
      <c r="A407" s="342"/>
      <c r="B407" s="269"/>
      <c r="C407" s="284"/>
      <c r="D407" s="533"/>
      <c r="E407" s="533"/>
      <c r="F407" s="533"/>
      <c r="G407" s="533"/>
      <c r="H407" s="533"/>
      <c r="I407" s="533"/>
      <c r="J407" s="533"/>
      <c r="K407" s="533"/>
      <c r="L407" s="533"/>
      <c r="M407" s="533"/>
      <c r="N407" s="533"/>
      <c r="O407" s="533"/>
      <c r="P407" s="264"/>
      <c r="Q407" s="256"/>
    </row>
    <row r="408" spans="1:17" ht="12.75" customHeight="1" x14ac:dyDescent="0.35">
      <c r="A408" s="342"/>
      <c r="B408" s="269"/>
      <c r="C408" s="284"/>
      <c r="D408" s="309"/>
      <c r="E408" s="309"/>
      <c r="F408" s="309"/>
      <c r="G408" s="309"/>
      <c r="H408" s="309"/>
      <c r="I408" s="309"/>
      <c r="J408" s="309"/>
      <c r="K408" s="309"/>
      <c r="L408" s="309"/>
      <c r="M408" s="309"/>
      <c r="N408" s="309"/>
      <c r="O408" s="309"/>
      <c r="P408" s="264"/>
      <c r="Q408" s="256"/>
    </row>
    <row r="409" spans="1:17" ht="12.75" customHeight="1" x14ac:dyDescent="0.35">
      <c r="A409" s="342"/>
      <c r="B409" s="287"/>
      <c r="C409" s="284">
        <f>Questionnaire!B286</f>
        <v>119</v>
      </c>
      <c r="D409" s="288" t="s">
        <v>365</v>
      </c>
      <c r="E409" s="256"/>
      <c r="F409" s="256"/>
      <c r="G409" s="256"/>
      <c r="H409" s="256"/>
      <c r="I409" s="256"/>
      <c r="J409" s="256"/>
      <c r="K409" s="256"/>
      <c r="L409" s="256"/>
      <c r="M409" s="256"/>
      <c r="N409" s="256"/>
      <c r="O409" s="256"/>
      <c r="P409" s="264"/>
      <c r="Q409" s="256"/>
    </row>
    <row r="410" spans="1:17" ht="12.75" customHeight="1" x14ac:dyDescent="0.35">
      <c r="A410" s="342"/>
      <c r="B410" s="269"/>
      <c r="C410" s="284"/>
      <c r="D410" s="533" t="str">
        <f>CONCATENATE("Include here manuscript material, pictures and prints and other library acquisitions not included elsewhere in lines ",Questionnaire!B269," to ",Questionnaire!B289,".  The cost of subscriptions to Regional Library Systems and the administration of inter library loans should be included in Other Supplies &amp; Services (line ",Questionnaire!B292,").")</f>
        <v>Include here manuscript material, pictures and prints and other library acquisitions not included elsewhere in lines 103 to 121.  The cost of subscriptions to Regional Library Systems and the administration of inter library loans should be included in Other Supplies &amp; Services (line 123).</v>
      </c>
      <c r="E410" s="533"/>
      <c r="F410" s="533"/>
      <c r="G410" s="533"/>
      <c r="H410" s="533"/>
      <c r="I410" s="533"/>
      <c r="J410" s="533"/>
      <c r="K410" s="533"/>
      <c r="L410" s="533"/>
      <c r="M410" s="533"/>
      <c r="N410" s="533"/>
      <c r="O410" s="533"/>
      <c r="P410" s="264"/>
      <c r="Q410" s="256"/>
    </row>
    <row r="411" spans="1:17" ht="12.75" customHeight="1" x14ac:dyDescent="0.35">
      <c r="A411" s="342"/>
      <c r="B411" s="269"/>
      <c r="C411" s="284"/>
      <c r="D411" s="533"/>
      <c r="E411" s="533"/>
      <c r="F411" s="533"/>
      <c r="G411" s="533"/>
      <c r="H411" s="533"/>
      <c r="I411" s="533"/>
      <c r="J411" s="533"/>
      <c r="K411" s="533"/>
      <c r="L411" s="533"/>
      <c r="M411" s="533"/>
      <c r="N411" s="533"/>
      <c r="O411" s="533"/>
      <c r="P411" s="264"/>
      <c r="Q411" s="256"/>
    </row>
    <row r="412" spans="1:17" ht="12.75" customHeight="1" x14ac:dyDescent="0.35">
      <c r="A412" s="342"/>
      <c r="B412" s="269"/>
      <c r="C412" s="284"/>
      <c r="D412" s="533"/>
      <c r="E412" s="533"/>
      <c r="F412" s="533"/>
      <c r="G412" s="533"/>
      <c r="H412" s="533"/>
      <c r="I412" s="533"/>
      <c r="J412" s="533"/>
      <c r="K412" s="533"/>
      <c r="L412" s="533"/>
      <c r="M412" s="533"/>
      <c r="N412" s="533"/>
      <c r="O412" s="533"/>
      <c r="P412" s="264"/>
      <c r="Q412" s="256"/>
    </row>
    <row r="413" spans="1:17" ht="12.75" customHeight="1" thickBot="1" x14ac:dyDescent="0.4">
      <c r="A413" s="342"/>
      <c r="B413" s="289"/>
      <c r="C413" s="290"/>
      <c r="D413" s="311"/>
      <c r="E413" s="311"/>
      <c r="F413" s="311"/>
      <c r="G413" s="311"/>
      <c r="H413" s="311"/>
      <c r="I413" s="311"/>
      <c r="J413" s="311"/>
      <c r="K413" s="311"/>
      <c r="L413" s="311"/>
      <c r="M413" s="311"/>
      <c r="N413" s="311"/>
      <c r="O413" s="311"/>
      <c r="P413" s="292"/>
      <c r="Q413" s="256"/>
    </row>
    <row r="414" spans="1:17" ht="5.25" customHeight="1" x14ac:dyDescent="0.35">
      <c r="A414" s="342"/>
      <c r="B414" s="306"/>
      <c r="C414" s="294"/>
      <c r="D414" s="307"/>
      <c r="E414" s="307"/>
      <c r="F414" s="307"/>
      <c r="G414" s="307"/>
      <c r="H414" s="307"/>
      <c r="I414" s="307"/>
      <c r="J414" s="307"/>
      <c r="K414" s="307"/>
      <c r="L414" s="307"/>
      <c r="M414" s="307"/>
      <c r="N414" s="307"/>
      <c r="O414" s="307"/>
      <c r="P414" s="296"/>
      <c r="Q414" s="256"/>
    </row>
    <row r="415" spans="1:17" ht="12.75" customHeight="1" x14ac:dyDescent="0.35">
      <c r="A415" s="342"/>
      <c r="B415" s="287"/>
      <c r="C415" s="284">
        <f>Questionnaire!B288</f>
        <v>120</v>
      </c>
      <c r="D415" s="288" t="s">
        <v>185</v>
      </c>
      <c r="E415" s="256"/>
      <c r="F415" s="256"/>
      <c r="G415" s="256"/>
      <c r="H415" s="256"/>
      <c r="I415" s="256"/>
      <c r="J415" s="256"/>
      <c r="K415" s="256"/>
      <c r="L415" s="256"/>
      <c r="M415" s="256"/>
      <c r="N415" s="256"/>
      <c r="O415" s="256"/>
      <c r="P415" s="264"/>
      <c r="Q415" s="256"/>
    </row>
    <row r="416" spans="1:17" ht="12.75" customHeight="1" x14ac:dyDescent="0.35">
      <c r="A416" s="342"/>
      <c r="B416" s="269"/>
      <c r="C416" s="284"/>
      <c r="D416" s="533" t="s">
        <v>366</v>
      </c>
      <c r="E416" s="533"/>
      <c r="F416" s="533"/>
      <c r="G416" s="533"/>
      <c r="H416" s="533"/>
      <c r="I416" s="533"/>
      <c r="J416" s="533"/>
      <c r="K416" s="533"/>
      <c r="L416" s="533"/>
      <c r="M416" s="533"/>
      <c r="N416" s="533"/>
      <c r="O416" s="533"/>
      <c r="P416" s="264"/>
      <c r="Q416" s="256"/>
    </row>
    <row r="417" spans="1:17" ht="12.75" customHeight="1" x14ac:dyDescent="0.35">
      <c r="A417" s="342"/>
      <c r="B417" s="269"/>
      <c r="C417" s="284"/>
      <c r="D417" s="533"/>
      <c r="E417" s="533"/>
      <c r="F417" s="533"/>
      <c r="G417" s="533"/>
      <c r="H417" s="533"/>
      <c r="I417" s="533"/>
      <c r="J417" s="533"/>
      <c r="K417" s="533"/>
      <c r="L417" s="533"/>
      <c r="M417" s="533"/>
      <c r="N417" s="533"/>
      <c r="O417" s="533"/>
      <c r="P417" s="264"/>
      <c r="Q417" s="256"/>
    </row>
    <row r="418" spans="1:17" ht="12.75" customHeight="1" x14ac:dyDescent="0.35">
      <c r="A418" s="342"/>
      <c r="B418" s="269"/>
      <c r="C418" s="284"/>
      <c r="D418" s="256"/>
      <c r="E418" s="256"/>
      <c r="F418" s="256"/>
      <c r="G418" s="256"/>
      <c r="H418" s="256"/>
      <c r="I418" s="256"/>
      <c r="J418" s="256"/>
      <c r="K418" s="256"/>
      <c r="L418" s="256"/>
      <c r="M418" s="256"/>
      <c r="N418" s="256"/>
      <c r="O418" s="256"/>
      <c r="P418" s="264"/>
      <c r="Q418" s="256"/>
    </row>
    <row r="419" spans="1:17" ht="12.75" customHeight="1" x14ac:dyDescent="0.35">
      <c r="A419" s="342"/>
      <c r="B419" s="287"/>
      <c r="C419" s="284">
        <f>Questionnaire!B291</f>
        <v>122</v>
      </c>
      <c r="D419" s="288" t="s">
        <v>187</v>
      </c>
      <c r="E419" s="256"/>
      <c r="F419" s="256"/>
      <c r="G419" s="256"/>
      <c r="H419" s="256"/>
      <c r="I419" s="256"/>
      <c r="J419" s="256"/>
      <c r="K419" s="256"/>
      <c r="L419" s="256"/>
      <c r="M419" s="256"/>
      <c r="N419" s="256"/>
      <c r="O419" s="256"/>
      <c r="P419" s="264"/>
      <c r="Q419" s="256"/>
    </row>
    <row r="420" spans="1:17" ht="12.75" customHeight="1" x14ac:dyDescent="0.35">
      <c r="A420" s="342"/>
      <c r="B420" s="269"/>
      <c r="C420" s="284"/>
      <c r="D420" s="532" t="s">
        <v>367</v>
      </c>
      <c r="E420" s="532"/>
      <c r="F420" s="532"/>
      <c r="G420" s="532"/>
      <c r="H420" s="532"/>
      <c r="I420" s="532"/>
      <c r="J420" s="532"/>
      <c r="K420" s="532"/>
      <c r="L420" s="532"/>
      <c r="M420" s="532"/>
      <c r="N420" s="532"/>
      <c r="O420" s="532"/>
      <c r="P420" s="264"/>
      <c r="Q420" s="256"/>
    </row>
    <row r="421" spans="1:17" ht="12.75" customHeight="1" x14ac:dyDescent="0.35">
      <c r="A421" s="342"/>
      <c r="B421" s="269"/>
      <c r="C421" s="284"/>
      <c r="D421" s="532"/>
      <c r="E421" s="532"/>
      <c r="F421" s="532"/>
      <c r="G421" s="532"/>
      <c r="H421" s="532"/>
      <c r="I421" s="532"/>
      <c r="J421" s="532"/>
      <c r="K421" s="532"/>
      <c r="L421" s="532"/>
      <c r="M421" s="532"/>
      <c r="N421" s="532"/>
      <c r="O421" s="532"/>
      <c r="P421" s="264"/>
      <c r="Q421" s="256"/>
    </row>
    <row r="422" spans="1:17" ht="12.75" customHeight="1" x14ac:dyDescent="0.35">
      <c r="A422" s="342"/>
      <c r="B422" s="269"/>
      <c r="C422" s="284"/>
      <c r="D422" s="532"/>
      <c r="E422" s="532"/>
      <c r="F422" s="532"/>
      <c r="G422" s="532"/>
      <c r="H422" s="532"/>
      <c r="I422" s="532"/>
      <c r="J422" s="532"/>
      <c r="K422" s="532"/>
      <c r="L422" s="532"/>
      <c r="M422" s="532"/>
      <c r="N422" s="532"/>
      <c r="O422" s="532"/>
      <c r="P422" s="264"/>
      <c r="Q422" s="256"/>
    </row>
    <row r="423" spans="1:17" ht="12.75" customHeight="1" x14ac:dyDescent="0.35">
      <c r="A423" s="342"/>
      <c r="B423" s="269"/>
      <c r="C423" s="284"/>
      <c r="D423" s="532" t="str">
        <f>CONCATENATE("The costs of financial use of a central computer (e.g. payroll, accounting etc.) should be shown within line ",Questionnaire!B296," (Support Services Costs).")</f>
        <v>The costs of financial use of a central computer (e.g. payroll, accounting etc.) should be shown within line 126 (Support Services Costs).</v>
      </c>
      <c r="E423" s="532"/>
      <c r="F423" s="532"/>
      <c r="G423" s="532"/>
      <c r="H423" s="532"/>
      <c r="I423" s="532"/>
      <c r="J423" s="532"/>
      <c r="K423" s="532"/>
      <c r="L423" s="532"/>
      <c r="M423" s="532"/>
      <c r="N423" s="532"/>
      <c r="O423" s="532"/>
      <c r="P423" s="264"/>
      <c r="Q423" s="256"/>
    </row>
    <row r="424" spans="1:17" ht="12.75" customHeight="1" x14ac:dyDescent="0.35">
      <c r="A424" s="342"/>
      <c r="B424" s="269"/>
      <c r="C424" s="284"/>
      <c r="D424" s="532"/>
      <c r="E424" s="532"/>
      <c r="F424" s="532"/>
      <c r="G424" s="532"/>
      <c r="H424" s="532"/>
      <c r="I424" s="532"/>
      <c r="J424" s="532"/>
      <c r="K424" s="532"/>
      <c r="L424" s="532"/>
      <c r="M424" s="532"/>
      <c r="N424" s="532"/>
      <c r="O424" s="532"/>
      <c r="P424" s="264"/>
      <c r="Q424" s="256"/>
    </row>
    <row r="425" spans="1:17" ht="12.75" customHeight="1" x14ac:dyDescent="0.35">
      <c r="A425" s="342"/>
      <c r="B425" s="269"/>
      <c r="C425" s="284"/>
      <c r="D425" s="256"/>
      <c r="E425" s="256"/>
      <c r="F425" s="256"/>
      <c r="G425" s="256"/>
      <c r="H425" s="256"/>
      <c r="I425" s="256"/>
      <c r="J425" s="256"/>
      <c r="K425" s="256"/>
      <c r="L425" s="256"/>
      <c r="M425" s="256"/>
      <c r="N425" s="256"/>
      <c r="O425" s="256"/>
      <c r="P425" s="264"/>
      <c r="Q425" s="256"/>
    </row>
    <row r="426" spans="1:17" ht="12.75" customHeight="1" x14ac:dyDescent="0.35">
      <c r="A426" s="342"/>
      <c r="B426" s="287"/>
      <c r="C426" s="284">
        <f>Questionnaire!B292</f>
        <v>123</v>
      </c>
      <c r="D426" s="288" t="s">
        <v>188</v>
      </c>
      <c r="E426" s="256"/>
      <c r="F426" s="256"/>
      <c r="G426" s="256"/>
      <c r="H426" s="256"/>
      <c r="I426" s="256"/>
      <c r="J426" s="256"/>
      <c r="K426" s="256"/>
      <c r="L426" s="256"/>
      <c r="M426" s="256"/>
      <c r="N426" s="256"/>
      <c r="O426" s="256"/>
      <c r="P426" s="264"/>
      <c r="Q426" s="256"/>
    </row>
    <row r="427" spans="1:17" ht="12.75" customHeight="1" x14ac:dyDescent="0.35">
      <c r="A427" s="342"/>
      <c r="B427" s="269"/>
      <c r="C427" s="284"/>
      <c r="D427" s="533" t="str">
        <f>CONCATENATE("Include supplies and services other than those included in lines ",Questionnaire!B269," to ",Questionnaire!B289," (expenditure) e.g. equipment, tools and materials; printing and stationery; provisions; clothing and uniforms; laundry and other hired and contracted services; and miscellaneous establishment costs, ",,"e.g. postages, telephones, insurances, office equipment etc.   ",,"Where a snack bar is operated within, and as part of, the library service the costs of provisions should be included here.  Include the cost of subscriptions to Regional Library Systems and the cost of administering Inter-Library loans.")</f>
        <v>Include supplies and services other than those included in lines 103 to 121 (expenditure) e.g. equipment, tools and materials; printing and stationery; provisions; clothing and uniforms; laundry and other hired and contracted services; and miscellaneous establishment costs, e.g. postages, telephones, insurances, office equipment etc.   Where a snack bar is operated within, and as part of, the library service the costs of provisions should be included here.  Include the cost of subscriptions to Regional Library Systems and the cost of administering Inter-Library loans.</v>
      </c>
      <c r="E427" s="533"/>
      <c r="F427" s="533"/>
      <c r="G427" s="533"/>
      <c r="H427" s="533"/>
      <c r="I427" s="533"/>
      <c r="J427" s="533"/>
      <c r="K427" s="533"/>
      <c r="L427" s="533"/>
      <c r="M427" s="533"/>
      <c r="N427" s="533"/>
      <c r="O427" s="533"/>
      <c r="P427" s="264"/>
      <c r="Q427" s="256"/>
    </row>
    <row r="428" spans="1:17" ht="12.75" customHeight="1" x14ac:dyDescent="0.35">
      <c r="A428" s="342"/>
      <c r="B428" s="269"/>
      <c r="C428" s="284"/>
      <c r="D428" s="533"/>
      <c r="E428" s="533"/>
      <c r="F428" s="533"/>
      <c r="G428" s="533"/>
      <c r="H428" s="533"/>
      <c r="I428" s="533"/>
      <c r="J428" s="533"/>
      <c r="K428" s="533"/>
      <c r="L428" s="533"/>
      <c r="M428" s="533"/>
      <c r="N428" s="533"/>
      <c r="O428" s="533"/>
      <c r="P428" s="264"/>
      <c r="Q428" s="256"/>
    </row>
    <row r="429" spans="1:17" ht="12.75" customHeight="1" x14ac:dyDescent="0.35">
      <c r="A429" s="342"/>
      <c r="B429" s="269"/>
      <c r="C429" s="284"/>
      <c r="D429" s="533"/>
      <c r="E429" s="533"/>
      <c r="F429" s="533"/>
      <c r="G429" s="533"/>
      <c r="H429" s="533"/>
      <c r="I429" s="533"/>
      <c r="J429" s="533"/>
      <c r="K429" s="533"/>
      <c r="L429" s="533"/>
      <c r="M429" s="533"/>
      <c r="N429" s="533"/>
      <c r="O429" s="533"/>
      <c r="P429" s="264"/>
      <c r="Q429" s="256"/>
    </row>
    <row r="430" spans="1:17" ht="12.75" customHeight="1" x14ac:dyDescent="0.35">
      <c r="A430" s="342"/>
      <c r="B430" s="269"/>
      <c r="C430" s="284"/>
      <c r="D430" s="533"/>
      <c r="E430" s="533"/>
      <c r="F430" s="533"/>
      <c r="G430" s="533"/>
      <c r="H430" s="533"/>
      <c r="I430" s="533"/>
      <c r="J430" s="533"/>
      <c r="K430" s="533"/>
      <c r="L430" s="533"/>
      <c r="M430" s="533"/>
      <c r="N430" s="533"/>
      <c r="O430" s="533"/>
      <c r="P430" s="264"/>
      <c r="Q430" s="256"/>
    </row>
    <row r="431" spans="1:17" ht="12.75" customHeight="1" x14ac:dyDescent="0.35">
      <c r="A431" s="342"/>
      <c r="B431" s="269"/>
      <c r="C431" s="284"/>
      <c r="D431" s="533"/>
      <c r="E431" s="533"/>
      <c r="F431" s="533"/>
      <c r="G431" s="533"/>
      <c r="H431" s="533"/>
      <c r="I431" s="533"/>
      <c r="J431" s="533"/>
      <c r="K431" s="533"/>
      <c r="L431" s="533"/>
      <c r="M431" s="533"/>
      <c r="N431" s="533"/>
      <c r="O431" s="533"/>
      <c r="P431" s="264"/>
      <c r="Q431" s="256"/>
    </row>
    <row r="432" spans="1:17" ht="12.75" customHeight="1" x14ac:dyDescent="0.35">
      <c r="A432" s="342"/>
      <c r="B432" s="269"/>
      <c r="C432" s="284"/>
      <c r="D432" s="256"/>
      <c r="E432" s="256"/>
      <c r="F432" s="256"/>
      <c r="G432" s="256"/>
      <c r="H432" s="256"/>
      <c r="I432" s="256"/>
      <c r="J432" s="256"/>
      <c r="K432" s="256"/>
      <c r="L432" s="256"/>
      <c r="M432" s="256"/>
      <c r="N432" s="256"/>
      <c r="O432" s="256"/>
      <c r="P432" s="264"/>
      <c r="Q432" s="256"/>
    </row>
    <row r="433" spans="1:17" ht="12.75" customHeight="1" x14ac:dyDescent="0.35">
      <c r="A433" s="342"/>
      <c r="B433" s="287"/>
      <c r="C433" s="284">
        <f>Questionnaire!B294</f>
        <v>124</v>
      </c>
      <c r="D433" s="288" t="s">
        <v>189</v>
      </c>
      <c r="E433" s="256"/>
      <c r="F433" s="256"/>
      <c r="G433" s="256"/>
      <c r="H433" s="256"/>
      <c r="I433" s="256"/>
      <c r="J433" s="256"/>
      <c r="K433" s="256"/>
      <c r="L433" s="256"/>
      <c r="M433" s="256"/>
      <c r="N433" s="256"/>
      <c r="O433" s="256"/>
      <c r="P433" s="264"/>
      <c r="Q433" s="256"/>
    </row>
    <row r="434" spans="1:17" ht="12.75" customHeight="1" x14ac:dyDescent="0.35">
      <c r="A434" s="342"/>
      <c r="B434" s="269"/>
      <c r="C434" s="284"/>
      <c r="D434" s="533" t="s">
        <v>368</v>
      </c>
      <c r="E434" s="533"/>
      <c r="F434" s="533"/>
      <c r="G434" s="533"/>
      <c r="H434" s="533"/>
      <c r="I434" s="533"/>
      <c r="J434" s="533"/>
      <c r="K434" s="533"/>
      <c r="L434" s="533"/>
      <c r="M434" s="533"/>
      <c r="N434" s="533"/>
      <c r="O434" s="533"/>
      <c r="P434" s="264"/>
      <c r="Q434" s="256"/>
    </row>
    <row r="435" spans="1:17" ht="12.75" customHeight="1" x14ac:dyDescent="0.35">
      <c r="A435" s="342"/>
      <c r="B435" s="269"/>
      <c r="C435" s="284"/>
      <c r="D435" s="533"/>
      <c r="E435" s="533"/>
      <c r="F435" s="533"/>
      <c r="G435" s="533"/>
      <c r="H435" s="533"/>
      <c r="I435" s="533"/>
      <c r="J435" s="533"/>
      <c r="K435" s="533"/>
      <c r="L435" s="533"/>
      <c r="M435" s="533"/>
      <c r="N435" s="533"/>
      <c r="O435" s="533"/>
      <c r="P435" s="264"/>
      <c r="Q435" s="256"/>
    </row>
    <row r="436" spans="1:17" ht="12.75" customHeight="1" x14ac:dyDescent="0.35">
      <c r="A436" s="342"/>
      <c r="B436" s="269"/>
      <c r="C436" s="284"/>
      <c r="D436" s="533"/>
      <c r="E436" s="533"/>
      <c r="F436" s="533"/>
      <c r="G436" s="533"/>
      <c r="H436" s="533"/>
      <c r="I436" s="533"/>
      <c r="J436" s="533"/>
      <c r="K436" s="533"/>
      <c r="L436" s="533"/>
      <c r="M436" s="533"/>
      <c r="N436" s="533"/>
      <c r="O436" s="533"/>
      <c r="P436" s="264"/>
      <c r="Q436" s="256"/>
    </row>
    <row r="437" spans="1:17" ht="12.75" customHeight="1" x14ac:dyDescent="0.35">
      <c r="A437" s="342"/>
      <c r="B437" s="269"/>
      <c r="C437" s="284"/>
      <c r="D437" s="256"/>
      <c r="E437" s="256"/>
      <c r="F437" s="256"/>
      <c r="G437" s="256"/>
      <c r="H437" s="256"/>
      <c r="I437" s="256"/>
      <c r="J437" s="256"/>
      <c r="K437" s="256"/>
      <c r="L437" s="256"/>
      <c r="M437" s="256"/>
      <c r="N437" s="256"/>
      <c r="O437" s="256"/>
      <c r="P437" s="264"/>
      <c r="Q437" s="256"/>
    </row>
    <row r="438" spans="1:17" ht="12.75" customHeight="1" x14ac:dyDescent="0.35">
      <c r="A438" s="342"/>
      <c r="B438" s="287"/>
      <c r="C438" s="284">
        <f>Questionnaire!B295</f>
        <v>125</v>
      </c>
      <c r="D438" s="288" t="s">
        <v>190</v>
      </c>
      <c r="E438" s="256"/>
      <c r="F438" s="256"/>
      <c r="G438" s="256"/>
      <c r="H438" s="256"/>
      <c r="I438" s="256"/>
      <c r="J438" s="256"/>
      <c r="K438" s="256"/>
      <c r="L438" s="256"/>
      <c r="M438" s="256"/>
      <c r="N438" s="256"/>
      <c r="O438" s="256"/>
      <c r="P438" s="264"/>
      <c r="Q438" s="256"/>
    </row>
    <row r="439" spans="1:17" ht="12.75" customHeight="1" x14ac:dyDescent="0.35">
      <c r="A439" s="342"/>
      <c r="B439" s="269"/>
      <c r="C439" s="284"/>
      <c r="D439" s="533" t="s">
        <v>369</v>
      </c>
      <c r="E439" s="533"/>
      <c r="F439" s="533"/>
      <c r="G439" s="533"/>
      <c r="H439" s="533"/>
      <c r="I439" s="533"/>
      <c r="J439" s="533"/>
      <c r="K439" s="533"/>
      <c r="L439" s="533"/>
      <c r="M439" s="533"/>
      <c r="N439" s="533"/>
      <c r="O439" s="533"/>
      <c r="P439" s="264"/>
      <c r="Q439" s="256"/>
    </row>
    <row r="440" spans="1:17" ht="12.75" customHeight="1" x14ac:dyDescent="0.35">
      <c r="A440" s="342"/>
      <c r="B440" s="269"/>
      <c r="C440" s="284"/>
      <c r="D440" s="533"/>
      <c r="E440" s="533"/>
      <c r="F440" s="533"/>
      <c r="G440" s="533"/>
      <c r="H440" s="533"/>
      <c r="I440" s="533"/>
      <c r="J440" s="533"/>
      <c r="K440" s="533"/>
      <c r="L440" s="533"/>
      <c r="M440" s="533"/>
      <c r="N440" s="533"/>
      <c r="O440" s="533"/>
      <c r="P440" s="264"/>
      <c r="Q440" s="256"/>
    </row>
    <row r="441" spans="1:17" ht="12.75" customHeight="1" x14ac:dyDescent="0.35">
      <c r="A441" s="342"/>
      <c r="B441" s="269"/>
      <c r="C441" s="284"/>
      <c r="D441" s="533"/>
      <c r="E441" s="533"/>
      <c r="F441" s="533"/>
      <c r="G441" s="533"/>
      <c r="H441" s="533"/>
      <c r="I441" s="533"/>
      <c r="J441" s="533"/>
      <c r="K441" s="533"/>
      <c r="L441" s="533"/>
      <c r="M441" s="533"/>
      <c r="N441" s="533"/>
      <c r="O441" s="533"/>
      <c r="P441" s="264"/>
      <c r="Q441" s="256"/>
    </row>
    <row r="442" spans="1:17" ht="12.75" customHeight="1" x14ac:dyDescent="0.35">
      <c r="A442" s="342"/>
      <c r="B442" s="269"/>
      <c r="C442" s="284"/>
      <c r="D442" s="256"/>
      <c r="E442" s="256"/>
      <c r="F442" s="256"/>
      <c r="G442" s="256"/>
      <c r="H442" s="256"/>
      <c r="I442" s="256"/>
      <c r="J442" s="256"/>
      <c r="K442" s="256"/>
      <c r="L442" s="256"/>
      <c r="M442" s="256"/>
      <c r="N442" s="256"/>
      <c r="O442" s="256"/>
      <c r="P442" s="264"/>
      <c r="Q442" s="256"/>
    </row>
    <row r="443" spans="1:17" ht="12.75" customHeight="1" x14ac:dyDescent="0.35">
      <c r="A443" s="342"/>
      <c r="B443" s="287"/>
      <c r="C443" s="284">
        <f>Questionnaire!B296</f>
        <v>126</v>
      </c>
      <c r="D443" s="288" t="s">
        <v>370</v>
      </c>
      <c r="E443" s="256"/>
      <c r="F443" s="256"/>
      <c r="G443" s="256"/>
      <c r="H443" s="256"/>
      <c r="I443" s="256"/>
      <c r="J443" s="256"/>
      <c r="K443" s="256"/>
      <c r="L443" s="256"/>
      <c r="M443" s="256"/>
      <c r="N443" s="256"/>
      <c r="O443" s="256"/>
      <c r="P443" s="264"/>
      <c r="Q443" s="256"/>
    </row>
    <row r="444" spans="1:17" ht="12.75" customHeight="1" x14ac:dyDescent="0.35">
      <c r="A444" s="342"/>
      <c r="B444" s="269"/>
      <c r="C444" s="284"/>
      <c r="D444" s="532" t="str">
        <f>CONCATENATE("Include an apportionment for administrative buildings, central departments, central support services, central expenses and departmental administration even if the authority does not make such an allocation to the public  library account.  ",,"Also include any executive costs of the department (of which libraries form a part) which are fairly attributable to libraries.  Exclude any costs included in line ",Questionnaire!B292,".  No attempt should be made to separately identify the staff element of central administrative charges, nor should such costs be included in line ",Questionnaire!B265,".  Include recharges that arise as a result of either Internal Service Level Agreements (SLAs) or the authority externally contracting out central professional services.")</f>
        <v>Include an apportionment for administrative buildings, central departments, central support services, central expenses and departmental administration even if the authority does not make such an allocation to the public  library account.  Also include any executive costs of the department (of which libraries form a part) which are fairly attributable to libraries.  Exclude any costs included in line 123.  No attempt should be made to separately identify the staff element of central administrative charges, nor should such costs be included in line 101.  Include recharges that arise as a result of either Internal Service Level Agreements (SLAs) or the authority externally contracting out central professional services.</v>
      </c>
      <c r="E444" s="532"/>
      <c r="F444" s="532"/>
      <c r="G444" s="532"/>
      <c r="H444" s="532"/>
      <c r="I444" s="532"/>
      <c r="J444" s="532"/>
      <c r="K444" s="532"/>
      <c r="L444" s="532"/>
      <c r="M444" s="532"/>
      <c r="N444" s="532"/>
      <c r="O444" s="532"/>
      <c r="P444" s="264"/>
      <c r="Q444" s="256"/>
    </row>
    <row r="445" spans="1:17" ht="12.75" customHeight="1" x14ac:dyDescent="0.35">
      <c r="A445" s="342"/>
      <c r="B445" s="269"/>
      <c r="C445" s="284"/>
      <c r="D445" s="532"/>
      <c r="E445" s="532"/>
      <c r="F445" s="532"/>
      <c r="G445" s="532"/>
      <c r="H445" s="532"/>
      <c r="I445" s="532"/>
      <c r="J445" s="532"/>
      <c r="K445" s="532"/>
      <c r="L445" s="532"/>
      <c r="M445" s="532"/>
      <c r="N445" s="532"/>
      <c r="O445" s="532"/>
      <c r="P445" s="264"/>
      <c r="Q445" s="256"/>
    </row>
    <row r="446" spans="1:17" ht="12.75" customHeight="1" x14ac:dyDescent="0.35">
      <c r="A446" s="342"/>
      <c r="B446" s="269"/>
      <c r="C446" s="284"/>
      <c r="D446" s="532"/>
      <c r="E446" s="532"/>
      <c r="F446" s="532"/>
      <c r="G446" s="532"/>
      <c r="H446" s="532"/>
      <c r="I446" s="532"/>
      <c r="J446" s="532"/>
      <c r="K446" s="532"/>
      <c r="L446" s="532"/>
      <c r="M446" s="532"/>
      <c r="N446" s="532"/>
      <c r="O446" s="532"/>
      <c r="P446" s="264"/>
      <c r="Q446" s="256"/>
    </row>
    <row r="447" spans="1:17" ht="12.75" customHeight="1" x14ac:dyDescent="0.35">
      <c r="A447" s="342"/>
      <c r="B447" s="269"/>
      <c r="C447" s="284"/>
      <c r="D447" s="532"/>
      <c r="E447" s="532"/>
      <c r="F447" s="532"/>
      <c r="G447" s="532"/>
      <c r="H447" s="532"/>
      <c r="I447" s="532"/>
      <c r="J447" s="532"/>
      <c r="K447" s="532"/>
      <c r="L447" s="532"/>
      <c r="M447" s="532"/>
      <c r="N447" s="532"/>
      <c r="O447" s="532"/>
      <c r="P447" s="264"/>
      <c r="Q447" s="256"/>
    </row>
    <row r="448" spans="1:17" ht="12.75" customHeight="1" x14ac:dyDescent="0.35">
      <c r="A448" s="342"/>
      <c r="B448" s="269"/>
      <c r="C448" s="284"/>
      <c r="D448" s="532"/>
      <c r="E448" s="532"/>
      <c r="F448" s="532"/>
      <c r="G448" s="532"/>
      <c r="H448" s="532"/>
      <c r="I448" s="532"/>
      <c r="J448" s="532"/>
      <c r="K448" s="532"/>
      <c r="L448" s="532"/>
      <c r="M448" s="532"/>
      <c r="N448" s="532"/>
      <c r="O448" s="532"/>
      <c r="P448" s="264"/>
      <c r="Q448" s="256"/>
    </row>
    <row r="449" spans="1:17" ht="12.75" customHeight="1" x14ac:dyDescent="0.35">
      <c r="A449" s="342"/>
      <c r="B449" s="269"/>
      <c r="C449" s="284"/>
      <c r="D449" s="532"/>
      <c r="E449" s="532"/>
      <c r="F449" s="532"/>
      <c r="G449" s="532"/>
      <c r="H449" s="532"/>
      <c r="I449" s="532"/>
      <c r="J449" s="532"/>
      <c r="K449" s="532"/>
      <c r="L449" s="532"/>
      <c r="M449" s="532"/>
      <c r="N449" s="532"/>
      <c r="O449" s="532"/>
      <c r="P449" s="264"/>
      <c r="Q449" s="256"/>
    </row>
    <row r="450" spans="1:17" ht="12.75" customHeight="1" x14ac:dyDescent="0.35">
      <c r="A450" s="342"/>
      <c r="B450" s="269"/>
      <c r="C450" s="284"/>
      <c r="D450" s="256"/>
      <c r="E450" s="256"/>
      <c r="F450" s="256"/>
      <c r="G450" s="256"/>
      <c r="H450" s="256"/>
      <c r="I450" s="256"/>
      <c r="J450" s="256"/>
      <c r="K450" s="256"/>
      <c r="L450" s="256"/>
      <c r="M450" s="256"/>
      <c r="N450" s="256"/>
      <c r="O450" s="256"/>
      <c r="P450" s="264"/>
      <c r="Q450" s="256"/>
    </row>
    <row r="451" spans="1:17" ht="12.75" customHeight="1" x14ac:dyDescent="0.35">
      <c r="A451" s="342"/>
      <c r="B451" s="287"/>
      <c r="C451" s="284" t="str">
        <f>CONCATENATE(Questionnaire!B304," &amp; ",Questionnaire!B305)</f>
        <v>129 &amp; 130</v>
      </c>
      <c r="D451" s="288" t="s">
        <v>371</v>
      </c>
      <c r="E451" s="256"/>
      <c r="F451" s="256"/>
      <c r="G451" s="256"/>
      <c r="H451" s="256"/>
      <c r="I451" s="256"/>
      <c r="J451" s="256"/>
      <c r="K451" s="256"/>
      <c r="L451" s="256"/>
      <c r="M451" s="256"/>
      <c r="N451" s="256"/>
      <c r="O451" s="256"/>
      <c r="P451" s="264"/>
      <c r="Q451" s="256"/>
    </row>
    <row r="452" spans="1:17" ht="12.75" customHeight="1" x14ac:dyDescent="0.35">
      <c r="A452" s="342"/>
      <c r="B452" s="269"/>
      <c r="C452" s="284"/>
      <c r="D452" s="533" t="s">
        <v>372</v>
      </c>
      <c r="E452" s="533"/>
      <c r="F452" s="533"/>
      <c r="G452" s="533"/>
      <c r="H452" s="533"/>
      <c r="I452" s="533"/>
      <c r="J452" s="533"/>
      <c r="K452" s="533"/>
      <c r="L452" s="533"/>
      <c r="M452" s="533"/>
      <c r="N452" s="533"/>
      <c r="O452" s="533"/>
      <c r="P452" s="264"/>
      <c r="Q452" s="256"/>
    </row>
    <row r="453" spans="1:17" ht="12.75" customHeight="1" x14ac:dyDescent="0.35">
      <c r="A453" s="342"/>
      <c r="B453" s="269"/>
      <c r="C453" s="284"/>
      <c r="D453" s="533"/>
      <c r="E453" s="533"/>
      <c r="F453" s="533"/>
      <c r="G453" s="533"/>
      <c r="H453" s="533"/>
      <c r="I453" s="533"/>
      <c r="J453" s="533"/>
      <c r="K453" s="533"/>
      <c r="L453" s="533"/>
      <c r="M453" s="533"/>
      <c r="N453" s="533"/>
      <c r="O453" s="533"/>
      <c r="P453" s="264"/>
      <c r="Q453" s="256"/>
    </row>
    <row r="454" spans="1:17" ht="12.75" customHeight="1" x14ac:dyDescent="0.35">
      <c r="A454" s="342"/>
      <c r="B454" s="269"/>
      <c r="C454" s="284"/>
      <c r="D454" s="256"/>
      <c r="E454" s="256"/>
      <c r="F454" s="256"/>
      <c r="G454" s="256"/>
      <c r="H454" s="256"/>
      <c r="I454" s="256"/>
      <c r="J454" s="256"/>
      <c r="K454" s="256"/>
      <c r="L454" s="256"/>
      <c r="M454" s="256"/>
      <c r="N454" s="256"/>
      <c r="O454" s="256"/>
      <c r="P454" s="264"/>
      <c r="Q454" s="256"/>
    </row>
    <row r="455" spans="1:17" ht="12.75" customHeight="1" x14ac:dyDescent="0.35">
      <c r="A455" s="342"/>
      <c r="B455" s="287"/>
      <c r="C455" s="284">
        <f>Questionnaire!B307</f>
        <v>132</v>
      </c>
      <c r="D455" s="288" t="s">
        <v>199</v>
      </c>
      <c r="E455" s="256"/>
      <c r="F455" s="256"/>
      <c r="G455" s="256"/>
      <c r="H455" s="256"/>
      <c r="I455" s="256"/>
      <c r="J455" s="256"/>
      <c r="K455" s="256"/>
      <c r="L455" s="256"/>
      <c r="M455" s="256"/>
      <c r="N455" s="256"/>
      <c r="O455" s="256"/>
      <c r="P455" s="264"/>
      <c r="Q455" s="256"/>
    </row>
    <row r="456" spans="1:17" ht="12.75" customHeight="1" x14ac:dyDescent="0.35">
      <c r="A456" s="342"/>
      <c r="B456" s="269"/>
      <c r="C456" s="284"/>
      <c r="D456" s="256" t="s">
        <v>373</v>
      </c>
      <c r="E456" s="256"/>
      <c r="F456" s="256"/>
      <c r="G456" s="256"/>
      <c r="H456" s="256"/>
      <c r="I456" s="256"/>
      <c r="J456" s="256"/>
      <c r="K456" s="256"/>
      <c r="L456" s="256"/>
      <c r="M456" s="256"/>
      <c r="N456" s="256"/>
      <c r="O456" s="256"/>
      <c r="P456" s="264"/>
      <c r="Q456" s="256"/>
    </row>
    <row r="457" spans="1:17" ht="12.75" customHeight="1" x14ac:dyDescent="0.35">
      <c r="A457" s="342"/>
      <c r="B457" s="269"/>
      <c r="C457" s="284"/>
      <c r="D457" s="256"/>
      <c r="E457" s="256"/>
      <c r="F457" s="256"/>
      <c r="G457" s="256"/>
      <c r="H457" s="256"/>
      <c r="I457" s="256"/>
      <c r="J457" s="256"/>
      <c r="K457" s="256"/>
      <c r="L457" s="256"/>
      <c r="M457" s="256"/>
      <c r="N457" s="256"/>
      <c r="O457" s="256"/>
      <c r="P457" s="264"/>
      <c r="Q457" s="256"/>
    </row>
    <row r="458" spans="1:17" ht="12.75" customHeight="1" x14ac:dyDescent="0.35">
      <c r="A458" s="342"/>
      <c r="B458" s="287"/>
      <c r="C458" s="284">
        <f>Questionnaire!B308</f>
        <v>133</v>
      </c>
      <c r="D458" s="288" t="s">
        <v>200</v>
      </c>
      <c r="E458" s="256"/>
      <c r="F458" s="256"/>
      <c r="G458" s="256"/>
      <c r="H458" s="256"/>
      <c r="I458" s="256"/>
      <c r="J458" s="256"/>
      <c r="K458" s="256"/>
      <c r="L458" s="256"/>
      <c r="M458" s="256"/>
      <c r="N458" s="256"/>
      <c r="O458" s="256"/>
      <c r="P458" s="264"/>
      <c r="Q458" s="256"/>
    </row>
    <row r="459" spans="1:17" ht="12.75" customHeight="1" x14ac:dyDescent="0.35">
      <c r="A459" s="342"/>
      <c r="B459" s="269"/>
      <c r="C459" s="284"/>
      <c r="D459" s="256" t="s">
        <v>374</v>
      </c>
      <c r="E459" s="256"/>
      <c r="F459" s="256"/>
      <c r="G459" s="256"/>
      <c r="H459" s="256"/>
      <c r="I459" s="256"/>
      <c r="J459" s="256"/>
      <c r="K459" s="256"/>
      <c r="L459" s="256"/>
      <c r="M459" s="256"/>
      <c r="N459" s="256"/>
      <c r="O459" s="256"/>
      <c r="P459" s="264"/>
      <c r="Q459" s="256"/>
    </row>
    <row r="460" spans="1:17" ht="12.75" customHeight="1" x14ac:dyDescent="0.35">
      <c r="A460" s="342"/>
      <c r="B460" s="269"/>
      <c r="C460" s="284"/>
      <c r="D460" s="256"/>
      <c r="E460" s="256"/>
      <c r="F460" s="256"/>
      <c r="G460" s="256"/>
      <c r="H460" s="256"/>
      <c r="I460" s="256"/>
      <c r="J460" s="256"/>
      <c r="K460" s="256"/>
      <c r="L460" s="256"/>
      <c r="M460" s="256"/>
      <c r="N460" s="256"/>
      <c r="O460" s="256"/>
      <c r="P460" s="264"/>
      <c r="Q460" s="256"/>
    </row>
    <row r="461" spans="1:17" ht="12.75" customHeight="1" x14ac:dyDescent="0.35">
      <c r="A461" s="342"/>
      <c r="B461" s="287"/>
      <c r="C461" s="284">
        <f>Questionnaire!B309</f>
        <v>134</v>
      </c>
      <c r="D461" s="288" t="s">
        <v>201</v>
      </c>
      <c r="E461" s="256"/>
      <c r="F461" s="256"/>
      <c r="G461" s="256"/>
      <c r="H461" s="256"/>
      <c r="I461" s="256"/>
      <c r="J461" s="256"/>
      <c r="K461" s="256"/>
      <c r="L461" s="256"/>
      <c r="M461" s="256"/>
      <c r="N461" s="256"/>
      <c r="O461" s="256"/>
      <c r="P461" s="264"/>
      <c r="Q461" s="256"/>
    </row>
    <row r="462" spans="1:17" ht="12.75" customHeight="1" x14ac:dyDescent="0.35">
      <c r="A462" s="342"/>
      <c r="B462" s="269"/>
      <c r="C462" s="284"/>
      <c r="D462" s="533" t="s">
        <v>375</v>
      </c>
      <c r="E462" s="533"/>
      <c r="F462" s="533"/>
      <c r="G462" s="533"/>
      <c r="H462" s="533"/>
      <c r="I462" s="533"/>
      <c r="J462" s="533"/>
      <c r="K462" s="533"/>
      <c r="L462" s="533"/>
      <c r="M462" s="533"/>
      <c r="N462" s="533"/>
      <c r="O462" s="533"/>
      <c r="P462" s="264"/>
      <c r="Q462" s="256"/>
    </row>
    <row r="463" spans="1:17" ht="12.75" customHeight="1" x14ac:dyDescent="0.35">
      <c r="A463" s="342"/>
      <c r="B463" s="269"/>
      <c r="C463" s="284"/>
      <c r="D463" s="533"/>
      <c r="E463" s="533"/>
      <c r="F463" s="533"/>
      <c r="G463" s="533"/>
      <c r="H463" s="533"/>
      <c r="I463" s="533"/>
      <c r="J463" s="533"/>
      <c r="K463" s="533"/>
      <c r="L463" s="533"/>
      <c r="M463" s="533"/>
      <c r="N463" s="533"/>
      <c r="O463" s="533"/>
      <c r="P463" s="264"/>
      <c r="Q463" s="256"/>
    </row>
    <row r="464" spans="1:17" ht="12.75" customHeight="1" x14ac:dyDescent="0.35">
      <c r="A464" s="342"/>
      <c r="B464" s="269"/>
      <c r="C464" s="284"/>
      <c r="D464" s="533"/>
      <c r="E464" s="533"/>
      <c r="F464" s="533"/>
      <c r="G464" s="533"/>
      <c r="H464" s="533"/>
      <c r="I464" s="533"/>
      <c r="J464" s="533"/>
      <c r="K464" s="533"/>
      <c r="L464" s="533"/>
      <c r="M464" s="533"/>
      <c r="N464" s="533"/>
      <c r="O464" s="533"/>
      <c r="P464" s="264"/>
      <c r="Q464" s="256"/>
    </row>
    <row r="465" spans="1:17" ht="12.75" customHeight="1" x14ac:dyDescent="0.35">
      <c r="A465" s="342"/>
      <c r="B465" s="269"/>
      <c r="C465" s="284"/>
      <c r="D465" s="256"/>
      <c r="E465" s="256"/>
      <c r="F465" s="256"/>
      <c r="G465" s="256"/>
      <c r="H465" s="256"/>
      <c r="I465" s="256"/>
      <c r="J465" s="256"/>
      <c r="K465" s="256"/>
      <c r="L465" s="256"/>
      <c r="M465" s="256"/>
      <c r="N465" s="256"/>
      <c r="O465" s="256"/>
      <c r="P465" s="264"/>
      <c r="Q465" s="256"/>
    </row>
    <row r="466" spans="1:17" ht="12.75" customHeight="1" x14ac:dyDescent="0.35">
      <c r="A466" s="342"/>
      <c r="B466" s="287"/>
      <c r="C466" s="284">
        <f>Questionnaire!B310</f>
        <v>135</v>
      </c>
      <c r="D466" s="288" t="s">
        <v>202</v>
      </c>
      <c r="E466" s="256"/>
      <c r="F466" s="256"/>
      <c r="G466" s="256"/>
      <c r="H466" s="256"/>
      <c r="I466" s="256"/>
      <c r="J466" s="256"/>
      <c r="K466" s="256"/>
      <c r="L466" s="256"/>
      <c r="M466" s="256"/>
      <c r="N466" s="256"/>
      <c r="O466" s="256"/>
      <c r="P466" s="264"/>
      <c r="Q466" s="256"/>
    </row>
    <row r="467" spans="1:17" ht="12.75" customHeight="1" x14ac:dyDescent="0.35">
      <c r="A467" s="342"/>
      <c r="B467" s="269"/>
      <c r="C467" s="284"/>
      <c r="D467" s="533" t="s">
        <v>376</v>
      </c>
      <c r="E467" s="533"/>
      <c r="F467" s="533"/>
      <c r="G467" s="533"/>
      <c r="H467" s="533"/>
      <c r="I467" s="533"/>
      <c r="J467" s="533"/>
      <c r="K467" s="533"/>
      <c r="L467" s="533"/>
      <c r="M467" s="533"/>
      <c r="N467" s="533"/>
      <c r="O467" s="533"/>
      <c r="P467" s="264"/>
      <c r="Q467" s="256"/>
    </row>
    <row r="468" spans="1:17" ht="12.75" customHeight="1" x14ac:dyDescent="0.35">
      <c r="A468" s="342"/>
      <c r="B468" s="269"/>
      <c r="C468" s="284"/>
      <c r="D468" s="533"/>
      <c r="E468" s="533"/>
      <c r="F468" s="533"/>
      <c r="G468" s="533"/>
      <c r="H468" s="533"/>
      <c r="I468" s="533"/>
      <c r="J468" s="533"/>
      <c r="K468" s="533"/>
      <c r="L468" s="533"/>
      <c r="M468" s="533"/>
      <c r="N468" s="533"/>
      <c r="O468" s="533"/>
      <c r="P468" s="264"/>
      <c r="Q468" s="256"/>
    </row>
    <row r="469" spans="1:17" ht="12.75" customHeight="1" x14ac:dyDescent="0.35">
      <c r="A469" s="342"/>
      <c r="B469" s="269"/>
      <c r="C469" s="284"/>
      <c r="D469" s="256"/>
      <c r="E469" s="256"/>
      <c r="F469" s="256"/>
      <c r="G469" s="256"/>
      <c r="H469" s="256"/>
      <c r="I469" s="256"/>
      <c r="J469" s="256"/>
      <c r="K469" s="256"/>
      <c r="L469" s="256"/>
      <c r="M469" s="256"/>
      <c r="N469" s="256"/>
      <c r="O469" s="256"/>
      <c r="P469" s="264"/>
      <c r="Q469" s="256"/>
    </row>
    <row r="470" spans="1:17" ht="12.75" customHeight="1" x14ac:dyDescent="0.35">
      <c r="A470" s="342"/>
      <c r="B470" s="287"/>
      <c r="C470" s="284">
        <f>Questionnaire!B311</f>
        <v>136</v>
      </c>
      <c r="D470" s="288" t="s">
        <v>377</v>
      </c>
      <c r="E470" s="256"/>
      <c r="F470" s="256"/>
      <c r="G470" s="256"/>
      <c r="H470" s="256"/>
      <c r="I470" s="256"/>
      <c r="J470" s="256"/>
      <c r="K470" s="256"/>
      <c r="L470" s="256"/>
      <c r="M470" s="256"/>
      <c r="N470" s="256"/>
      <c r="O470" s="256"/>
      <c r="P470" s="264"/>
      <c r="Q470" s="256"/>
    </row>
    <row r="471" spans="1:17" ht="12.75" customHeight="1" x14ac:dyDescent="0.35">
      <c r="A471" s="342"/>
      <c r="B471" s="269"/>
      <c r="C471" s="284"/>
      <c r="D471" s="532" t="str">
        <f>CONCATENATE("Include here all income from withdrawn book sales (including charges for lost and damaged books, sales publications, badges and carrier bags etc.), ",,"photocopying charges and all income for services offered to other bodies (e.g. binding), or provided to other departments  of the authority.",,"  Include income from snack bars etc. if these are staffed and run directly by the libraries but if leased by others, the rental received should be included within lettings at line ",Questionnaire!B306,".")</f>
        <v>Include here all income from withdrawn book sales (including charges for lost and damaged books, sales publications, badges and carrier bags etc.), photocopying charges and all income for services offered to other bodies (e.g. binding), or provided to other departments  of the authority.  Include income from snack bars etc. if these are staffed and run directly by the libraries but if leased by others, the rental received should be included within lettings at line 131.</v>
      </c>
      <c r="E471" s="532"/>
      <c r="F471" s="532"/>
      <c r="G471" s="532"/>
      <c r="H471" s="532"/>
      <c r="I471" s="532"/>
      <c r="J471" s="532"/>
      <c r="K471" s="532"/>
      <c r="L471" s="532"/>
      <c r="M471" s="532"/>
      <c r="N471" s="532"/>
      <c r="O471" s="532"/>
      <c r="P471" s="264"/>
      <c r="Q471" s="256"/>
    </row>
    <row r="472" spans="1:17" ht="12.75" customHeight="1" x14ac:dyDescent="0.35">
      <c r="A472" s="342"/>
      <c r="B472" s="269"/>
      <c r="C472" s="284"/>
      <c r="D472" s="532"/>
      <c r="E472" s="532"/>
      <c r="F472" s="532"/>
      <c r="G472" s="532"/>
      <c r="H472" s="532"/>
      <c r="I472" s="532"/>
      <c r="J472" s="532"/>
      <c r="K472" s="532"/>
      <c r="L472" s="532"/>
      <c r="M472" s="532"/>
      <c r="N472" s="532"/>
      <c r="O472" s="532"/>
      <c r="P472" s="264"/>
      <c r="Q472" s="256"/>
    </row>
    <row r="473" spans="1:17" ht="12.75" customHeight="1" x14ac:dyDescent="0.35">
      <c r="A473" s="342"/>
      <c r="B473" s="269"/>
      <c r="C473" s="284"/>
      <c r="D473" s="532"/>
      <c r="E473" s="532"/>
      <c r="F473" s="532"/>
      <c r="G473" s="532"/>
      <c r="H473" s="532"/>
      <c r="I473" s="532"/>
      <c r="J473" s="532"/>
      <c r="K473" s="532"/>
      <c r="L473" s="532"/>
      <c r="M473" s="532"/>
      <c r="N473" s="532"/>
      <c r="O473" s="532"/>
      <c r="P473" s="264"/>
      <c r="Q473" s="256"/>
    </row>
    <row r="474" spans="1:17" ht="12.75" customHeight="1" x14ac:dyDescent="0.35">
      <c r="A474" s="342"/>
      <c r="B474" s="269"/>
      <c r="C474" s="284"/>
      <c r="D474" s="532"/>
      <c r="E474" s="532"/>
      <c r="F474" s="532"/>
      <c r="G474" s="532"/>
      <c r="H474" s="532"/>
      <c r="I474" s="532"/>
      <c r="J474" s="532"/>
      <c r="K474" s="532"/>
      <c r="L474" s="532"/>
      <c r="M474" s="532"/>
      <c r="N474" s="532"/>
      <c r="O474" s="532"/>
      <c r="P474" s="264"/>
      <c r="Q474" s="256"/>
    </row>
    <row r="475" spans="1:17" ht="12.75" customHeight="1" x14ac:dyDescent="0.35">
      <c r="A475" s="342"/>
      <c r="B475" s="269"/>
      <c r="C475" s="284"/>
      <c r="D475" s="532"/>
      <c r="E475" s="532"/>
      <c r="F475" s="532"/>
      <c r="G475" s="532"/>
      <c r="H475" s="532"/>
      <c r="I475" s="532"/>
      <c r="J475" s="532"/>
      <c r="K475" s="532"/>
      <c r="L475" s="532"/>
      <c r="M475" s="532"/>
      <c r="N475" s="532"/>
      <c r="O475" s="532"/>
      <c r="P475" s="264"/>
      <c r="Q475" s="256"/>
    </row>
    <row r="476" spans="1:17" ht="12.75" customHeight="1" x14ac:dyDescent="0.35">
      <c r="A476" s="342"/>
      <c r="B476" s="269"/>
      <c r="C476" s="284"/>
      <c r="D476" s="532" t="str">
        <f>CONCATENATE("Include income from ticket sales together with commission earned on sales for other bodies/departments.  ",,"Also include income from the hire of equipment (e.g. typewriter, microcomputer) and materials (e.g. pictures, games) but exclude income from the hire of audio and visual materials and income from electronic services (which should be included in lines ",Questionnaire!B307," &amp; ",Questionnaire!B308,").  Income from other authorities in respect of hire charges (e.g. ethnic language books) should also be included.")</f>
        <v>Include income from ticket sales together with commission earned on sales for other bodies/departments.  Also include income from the hire of equipment (e.g. typewriter, microcomputer) and materials (e.g. pictures, games) but exclude income from the hire of audio and visual materials and income from electronic services (which should be included in lines 132 &amp; 133).  Income from other authorities in respect of hire charges (e.g. ethnic language books) should also be included.</v>
      </c>
      <c r="E476" s="532"/>
      <c r="F476" s="532"/>
      <c r="G476" s="532"/>
      <c r="H476" s="532"/>
      <c r="I476" s="532"/>
      <c r="J476" s="532"/>
      <c r="K476" s="532"/>
      <c r="L476" s="532"/>
      <c r="M476" s="532"/>
      <c r="N476" s="532"/>
      <c r="O476" s="532"/>
      <c r="P476" s="264"/>
      <c r="Q476" s="256"/>
    </row>
    <row r="477" spans="1:17" ht="12.75" customHeight="1" x14ac:dyDescent="0.35">
      <c r="A477" s="342"/>
      <c r="B477" s="269"/>
      <c r="C477" s="284"/>
      <c r="D477" s="532"/>
      <c r="E477" s="532"/>
      <c r="F477" s="532"/>
      <c r="G477" s="532"/>
      <c r="H477" s="532"/>
      <c r="I477" s="532"/>
      <c r="J477" s="532"/>
      <c r="K477" s="532"/>
      <c r="L477" s="532"/>
      <c r="M477" s="532"/>
      <c r="N477" s="532"/>
      <c r="O477" s="532"/>
      <c r="P477" s="264"/>
      <c r="Q477" s="256"/>
    </row>
    <row r="478" spans="1:17" ht="12.75" customHeight="1" x14ac:dyDescent="0.35">
      <c r="A478" s="342"/>
      <c r="B478" s="269"/>
      <c r="C478" s="284"/>
      <c r="D478" s="532"/>
      <c r="E478" s="532"/>
      <c r="F478" s="532"/>
      <c r="G478" s="532"/>
      <c r="H478" s="532"/>
      <c r="I478" s="532"/>
      <c r="J478" s="532"/>
      <c r="K478" s="532"/>
      <c r="L478" s="532"/>
      <c r="M478" s="532"/>
      <c r="N478" s="532"/>
      <c r="O478" s="532"/>
      <c r="P478" s="264"/>
      <c r="Q478" s="256"/>
    </row>
    <row r="479" spans="1:17" ht="12.75" customHeight="1" x14ac:dyDescent="0.35">
      <c r="A479" s="342"/>
      <c r="B479" s="269"/>
      <c r="C479" s="284"/>
      <c r="D479" s="532"/>
      <c r="E479" s="532"/>
      <c r="F479" s="532"/>
      <c r="G479" s="532"/>
      <c r="H479" s="532"/>
      <c r="I479" s="532"/>
      <c r="J479" s="532"/>
      <c r="K479" s="532"/>
      <c r="L479" s="532"/>
      <c r="M479" s="532"/>
      <c r="N479" s="532"/>
      <c r="O479" s="532"/>
      <c r="P479" s="264"/>
      <c r="Q479" s="256"/>
    </row>
    <row r="480" spans="1:17" ht="12.75" customHeight="1" x14ac:dyDescent="0.35">
      <c r="A480" s="342"/>
      <c r="B480" s="269"/>
      <c r="C480" s="284"/>
      <c r="D480" s="532"/>
      <c r="E480" s="532"/>
      <c r="F480" s="532"/>
      <c r="G480" s="532"/>
      <c r="H480" s="532"/>
      <c r="I480" s="532"/>
      <c r="J480" s="532"/>
      <c r="K480" s="532"/>
      <c r="L480" s="532"/>
      <c r="M480" s="532"/>
      <c r="N480" s="532"/>
      <c r="O480" s="532"/>
      <c r="P480" s="264"/>
      <c r="Q480" s="256"/>
    </row>
    <row r="481" spans="1:17" ht="12.75" customHeight="1" thickBot="1" x14ac:dyDescent="0.4">
      <c r="A481" s="342"/>
      <c r="B481" s="289"/>
      <c r="C481" s="290"/>
      <c r="D481" s="305"/>
      <c r="E481" s="305"/>
      <c r="F481" s="305"/>
      <c r="G481" s="305"/>
      <c r="H481" s="305"/>
      <c r="I481" s="305"/>
      <c r="J481" s="305"/>
      <c r="K481" s="305"/>
      <c r="L481" s="305"/>
      <c r="M481" s="305"/>
      <c r="N481" s="305"/>
      <c r="O481" s="305"/>
      <c r="P481" s="292"/>
      <c r="Q481" s="256"/>
    </row>
    <row r="482" spans="1:17" ht="5.25" customHeight="1" x14ac:dyDescent="0.35">
      <c r="A482" s="342"/>
      <c r="B482" s="293"/>
      <c r="C482" s="294"/>
      <c r="D482" s="295"/>
      <c r="E482" s="295"/>
      <c r="F482" s="295"/>
      <c r="G482" s="295"/>
      <c r="H482" s="295"/>
      <c r="I482" s="295"/>
      <c r="J482" s="295"/>
      <c r="K482" s="295"/>
      <c r="L482" s="295"/>
      <c r="M482" s="295"/>
      <c r="N482" s="295"/>
      <c r="O482" s="295"/>
      <c r="P482" s="296"/>
      <c r="Q482" s="256"/>
    </row>
    <row r="483" spans="1:17" ht="12.75" customHeight="1" x14ac:dyDescent="0.35">
      <c r="A483" s="342"/>
      <c r="B483" s="287"/>
      <c r="C483" s="284">
        <f>Questionnaire!B312</f>
        <v>137</v>
      </c>
      <c r="D483" s="288" t="s">
        <v>378</v>
      </c>
      <c r="E483" s="256"/>
      <c r="F483" s="256"/>
      <c r="G483" s="256"/>
      <c r="H483" s="256"/>
      <c r="I483" s="256"/>
      <c r="J483" s="256"/>
      <c r="K483" s="256"/>
      <c r="L483" s="256"/>
      <c r="M483" s="256"/>
      <c r="N483" s="256"/>
      <c r="O483" s="256"/>
      <c r="P483" s="264"/>
      <c r="Q483" s="256"/>
    </row>
    <row r="484" spans="1:17" ht="12.75" customHeight="1" x14ac:dyDescent="0.35">
      <c r="A484" s="342"/>
      <c r="B484" s="269"/>
      <c r="C484" s="284"/>
      <c r="D484" s="533" t="s">
        <v>379</v>
      </c>
      <c r="E484" s="533"/>
      <c r="F484" s="533"/>
      <c r="G484" s="533"/>
      <c r="H484" s="533"/>
      <c r="I484" s="533"/>
      <c r="J484" s="533"/>
      <c r="K484" s="533"/>
      <c r="L484" s="533"/>
      <c r="M484" s="533"/>
      <c r="N484" s="533"/>
      <c r="O484" s="533"/>
      <c r="P484" s="264"/>
      <c r="Q484" s="256"/>
    </row>
    <row r="485" spans="1:17" ht="12.75" customHeight="1" x14ac:dyDescent="0.35">
      <c r="A485" s="342"/>
      <c r="B485" s="269"/>
      <c r="C485" s="284"/>
      <c r="D485" s="533"/>
      <c r="E485" s="533"/>
      <c r="F485" s="533"/>
      <c r="G485" s="533"/>
      <c r="H485" s="533"/>
      <c r="I485" s="533"/>
      <c r="J485" s="533"/>
      <c r="K485" s="533"/>
      <c r="L485" s="533"/>
      <c r="M485" s="533"/>
      <c r="N485" s="533"/>
      <c r="O485" s="533"/>
      <c r="P485" s="264"/>
      <c r="Q485" s="256"/>
    </row>
    <row r="486" spans="1:17" ht="12.75" customHeight="1" x14ac:dyDescent="0.35">
      <c r="A486" s="342"/>
      <c r="B486" s="269"/>
      <c r="C486" s="284"/>
      <c r="D486" s="256"/>
      <c r="E486" s="256"/>
      <c r="F486" s="256"/>
      <c r="G486" s="256"/>
      <c r="H486" s="256"/>
      <c r="I486" s="256"/>
      <c r="J486" s="256"/>
      <c r="K486" s="256"/>
      <c r="L486" s="256"/>
      <c r="M486" s="256"/>
      <c r="N486" s="256"/>
      <c r="O486" s="256"/>
      <c r="P486" s="264"/>
      <c r="Q486" s="256"/>
    </row>
    <row r="487" spans="1:17" ht="12.75" customHeight="1" x14ac:dyDescent="0.35">
      <c r="A487" s="342"/>
      <c r="B487" s="287"/>
      <c r="C487" s="284">
        <f>Questionnaire!B323</f>
        <v>140</v>
      </c>
      <c r="D487" s="288" t="s">
        <v>380</v>
      </c>
      <c r="E487" s="256"/>
      <c r="F487" s="256"/>
      <c r="G487" s="256"/>
      <c r="H487" s="256"/>
      <c r="I487" s="256"/>
      <c r="J487" s="256"/>
      <c r="K487" s="256"/>
      <c r="L487" s="256"/>
      <c r="M487" s="324"/>
      <c r="N487" s="324"/>
      <c r="O487" s="324"/>
      <c r="P487" s="264"/>
      <c r="Q487" s="256"/>
    </row>
    <row r="488" spans="1:17" ht="12.75" customHeight="1" x14ac:dyDescent="0.35">
      <c r="A488" s="342"/>
      <c r="B488" s="269"/>
      <c r="C488" s="284"/>
      <c r="D488" s="533" t="s">
        <v>381</v>
      </c>
      <c r="E488" s="533"/>
      <c r="F488" s="533"/>
      <c r="G488" s="533"/>
      <c r="H488" s="533"/>
      <c r="I488" s="533"/>
      <c r="J488" s="533"/>
      <c r="K488" s="533"/>
      <c r="L488" s="533"/>
      <c r="M488" s="533"/>
      <c r="N488" s="533"/>
      <c r="O488" s="533"/>
      <c r="P488" s="264"/>
      <c r="Q488" s="256"/>
    </row>
    <row r="489" spans="1:17" ht="12.75" customHeight="1" x14ac:dyDescent="0.35">
      <c r="A489" s="342"/>
      <c r="B489" s="269"/>
      <c r="C489" s="284"/>
      <c r="D489" s="533"/>
      <c r="E489" s="533"/>
      <c r="F489" s="533"/>
      <c r="G489" s="533"/>
      <c r="H489" s="533"/>
      <c r="I489" s="533"/>
      <c r="J489" s="533"/>
      <c r="K489" s="533"/>
      <c r="L489" s="533"/>
      <c r="M489" s="533"/>
      <c r="N489" s="533"/>
      <c r="O489" s="533"/>
      <c r="P489" s="264"/>
      <c r="Q489" s="256"/>
    </row>
    <row r="490" spans="1:17" ht="12.75" customHeight="1" x14ac:dyDescent="0.35">
      <c r="A490" s="342"/>
      <c r="B490" s="269"/>
      <c r="C490" s="284"/>
      <c r="D490" s="533"/>
      <c r="E490" s="533"/>
      <c r="F490" s="533"/>
      <c r="G490" s="533"/>
      <c r="H490" s="533"/>
      <c r="I490" s="533"/>
      <c r="J490" s="533"/>
      <c r="K490" s="533"/>
      <c r="L490" s="533"/>
      <c r="M490" s="533"/>
      <c r="N490" s="533"/>
      <c r="O490" s="533"/>
      <c r="P490" s="264"/>
      <c r="Q490" s="256"/>
    </row>
    <row r="491" spans="1:17" ht="12.75" customHeight="1" x14ac:dyDescent="0.35">
      <c r="A491" s="342"/>
      <c r="B491" s="269"/>
      <c r="C491" s="284"/>
      <c r="D491" s="533"/>
      <c r="E491" s="533"/>
      <c r="F491" s="533"/>
      <c r="G491" s="533"/>
      <c r="H491" s="533"/>
      <c r="I491" s="533"/>
      <c r="J491" s="533"/>
      <c r="K491" s="533"/>
      <c r="L491" s="533"/>
      <c r="M491" s="533"/>
      <c r="N491" s="533"/>
      <c r="O491" s="533"/>
      <c r="P491" s="264"/>
      <c r="Q491" s="256"/>
    </row>
    <row r="492" spans="1:17" ht="12.75" customHeight="1" x14ac:dyDescent="0.35">
      <c r="A492" s="256"/>
      <c r="B492" s="266"/>
      <c r="C492" s="284"/>
      <c r="D492" s="265"/>
      <c r="E492" s="265"/>
      <c r="F492" s="265"/>
      <c r="G492" s="265"/>
      <c r="H492" s="265"/>
      <c r="I492" s="265"/>
      <c r="J492" s="265"/>
      <c r="K492" s="265"/>
      <c r="L492" s="265"/>
      <c r="M492" s="265"/>
      <c r="N492" s="265"/>
      <c r="O492" s="265"/>
      <c r="P492" s="264"/>
      <c r="Q492" s="256"/>
    </row>
    <row r="493" spans="1:17" ht="12.75" customHeight="1" x14ac:dyDescent="0.35">
      <c r="A493" s="342"/>
      <c r="B493" s="322"/>
      <c r="C493" s="284"/>
      <c r="D493" s="323" t="s">
        <v>382</v>
      </c>
      <c r="E493" s="265"/>
      <c r="F493" s="265"/>
      <c r="G493" s="265"/>
      <c r="H493" s="265"/>
      <c r="I493" s="265"/>
      <c r="J493" s="265"/>
      <c r="K493" s="265"/>
      <c r="L493" s="265"/>
      <c r="M493" s="265"/>
      <c r="N493" s="265"/>
      <c r="O493" s="265"/>
      <c r="P493" s="264"/>
      <c r="Q493" s="256"/>
    </row>
    <row r="494" spans="1:17" ht="12.75" customHeight="1" x14ac:dyDescent="0.35">
      <c r="A494" s="342"/>
      <c r="B494" s="266"/>
      <c r="C494" s="284"/>
      <c r="D494" s="265"/>
      <c r="E494" s="265"/>
      <c r="F494" s="265"/>
      <c r="G494" s="265"/>
      <c r="H494" s="265"/>
      <c r="I494" s="265"/>
      <c r="J494" s="265"/>
      <c r="K494" s="265"/>
      <c r="L494" s="265"/>
      <c r="M494" s="265"/>
      <c r="N494" s="265"/>
      <c r="O494" s="265"/>
      <c r="P494" s="264"/>
      <c r="Q494" s="256"/>
    </row>
    <row r="495" spans="1:17" ht="12.75" customHeight="1" x14ac:dyDescent="0.35">
      <c r="A495" s="342"/>
      <c r="B495" s="287"/>
      <c r="C495" s="284" t="e">
        <f>CONCATENATE(Questionnaire!B328," to ",Questionnaire!B333)</f>
        <v>#REF!</v>
      </c>
      <c r="D495" s="288" t="e">
        <f>CONCATENATE("Capital Expenditure (",Year,"-",Year-1999," Outturn only)")</f>
        <v>#REF!</v>
      </c>
      <c r="E495" s="256"/>
      <c r="F495" s="256"/>
      <c r="G495" s="256"/>
      <c r="H495" s="256"/>
      <c r="I495" s="256"/>
      <c r="J495" s="256"/>
      <c r="K495" s="256"/>
      <c r="L495" s="256"/>
      <c r="M495" s="256"/>
      <c r="N495" s="256"/>
      <c r="O495" s="256"/>
      <c r="P495" s="264"/>
      <c r="Q495" s="256"/>
    </row>
    <row r="496" spans="1:17" ht="12.75" customHeight="1" x14ac:dyDescent="0.35">
      <c r="A496" s="342"/>
      <c r="B496" s="269"/>
      <c r="C496" s="284"/>
      <c r="D496" s="256" t="e">
        <f>CONCATENATE("Total capital expenditure incurred (not committed) in ",Year,"-",Year-1999,", on an accruals basis.")</f>
        <v>#REF!</v>
      </c>
      <c r="E496" s="256"/>
      <c r="F496" s="256"/>
      <c r="G496" s="256"/>
      <c r="H496" s="256"/>
      <c r="I496" s="256"/>
      <c r="J496" s="256"/>
      <c r="K496" s="256"/>
      <c r="L496" s="256"/>
      <c r="M496" s="256"/>
      <c r="N496" s="256"/>
      <c r="O496" s="256"/>
      <c r="P496" s="264"/>
      <c r="Q496" s="256"/>
    </row>
    <row r="497" spans="1:17" ht="12.75" customHeight="1" x14ac:dyDescent="0.35">
      <c r="A497" s="342"/>
      <c r="B497" s="269"/>
      <c r="C497" s="284"/>
      <c r="D497" s="256"/>
      <c r="E497" s="256"/>
      <c r="F497" s="256"/>
      <c r="G497" s="256"/>
      <c r="H497" s="256"/>
      <c r="I497" s="256"/>
      <c r="J497" s="256"/>
      <c r="K497" s="256"/>
      <c r="L497" s="256"/>
      <c r="M497" s="256"/>
      <c r="N497" s="256"/>
      <c r="O497" s="256"/>
      <c r="P497" s="264"/>
      <c r="Q497" s="256"/>
    </row>
    <row r="498" spans="1:17" ht="12.75" customHeight="1" x14ac:dyDescent="0.35">
      <c r="A498" s="342"/>
      <c r="B498" s="287"/>
      <c r="C498" s="284">
        <f>Questionnaire!B328</f>
        <v>141</v>
      </c>
      <c r="D498" s="288" t="s">
        <v>210</v>
      </c>
      <c r="E498" s="256"/>
      <c r="F498" s="256"/>
      <c r="G498" s="256"/>
      <c r="H498" s="256"/>
      <c r="I498" s="256"/>
      <c r="J498" s="256"/>
      <c r="K498" s="256"/>
      <c r="L498" s="256"/>
      <c r="M498" s="256"/>
      <c r="N498" s="256"/>
      <c r="O498" s="256"/>
      <c r="P498" s="264"/>
      <c r="Q498" s="256"/>
    </row>
    <row r="499" spans="1:17" ht="12.75" customHeight="1" x14ac:dyDescent="0.35">
      <c r="A499" s="342"/>
      <c r="B499" s="269"/>
      <c r="C499" s="284"/>
      <c r="D499" s="532" t="e">
        <f>CONCATENATE("Total capital expenditure incurred in ",Year,"-",Year-1999," on new library buildings.  Do not include the costs of refurbishing existing premises.")</f>
        <v>#REF!</v>
      </c>
      <c r="E499" s="532"/>
      <c r="F499" s="532"/>
      <c r="G499" s="532"/>
      <c r="H499" s="532"/>
      <c r="I499" s="532"/>
      <c r="J499" s="532"/>
      <c r="K499" s="532"/>
      <c r="L499" s="532"/>
      <c r="M499" s="532"/>
      <c r="N499" s="532"/>
      <c r="O499" s="532"/>
      <c r="P499" s="264"/>
      <c r="Q499" s="256"/>
    </row>
    <row r="500" spans="1:17" ht="12.75" customHeight="1" x14ac:dyDescent="0.35">
      <c r="A500" s="342"/>
      <c r="B500" s="269"/>
      <c r="C500" s="284"/>
      <c r="D500" s="532"/>
      <c r="E500" s="532"/>
      <c r="F500" s="532"/>
      <c r="G500" s="532"/>
      <c r="H500" s="532"/>
      <c r="I500" s="532"/>
      <c r="J500" s="532"/>
      <c r="K500" s="532"/>
      <c r="L500" s="532"/>
      <c r="M500" s="532"/>
      <c r="N500" s="532"/>
      <c r="O500" s="532"/>
      <c r="P500" s="264"/>
      <c r="Q500" s="256"/>
    </row>
    <row r="501" spans="1:17" ht="12.75" customHeight="1" x14ac:dyDescent="0.35">
      <c r="A501" s="342"/>
      <c r="B501" s="269"/>
      <c r="C501" s="284"/>
      <c r="D501" s="256"/>
      <c r="E501" s="256"/>
      <c r="F501" s="256"/>
      <c r="G501" s="256"/>
      <c r="H501" s="256"/>
      <c r="I501" s="256"/>
      <c r="J501" s="256"/>
      <c r="K501" s="256"/>
      <c r="L501" s="256"/>
      <c r="M501" s="256"/>
      <c r="N501" s="256"/>
      <c r="O501" s="256"/>
      <c r="P501" s="264"/>
      <c r="Q501" s="256"/>
    </row>
    <row r="502" spans="1:17" ht="12.75" customHeight="1" x14ac:dyDescent="0.35">
      <c r="A502" s="342"/>
      <c r="B502" s="287"/>
      <c r="C502" s="284" t="e">
        <f>Questionnaire!#REF!</f>
        <v>#REF!</v>
      </c>
      <c r="D502" s="288" t="s">
        <v>211</v>
      </c>
      <c r="E502" s="256"/>
      <c r="F502" s="256"/>
      <c r="G502" s="256"/>
      <c r="H502" s="256"/>
      <c r="I502" s="256"/>
      <c r="J502" s="256"/>
      <c r="K502" s="256"/>
      <c r="L502" s="256"/>
      <c r="M502" s="256"/>
      <c r="N502" s="256"/>
      <c r="O502" s="256"/>
      <c r="P502" s="264"/>
      <c r="Q502" s="256"/>
    </row>
    <row r="503" spans="1:17" ht="12.75" customHeight="1" x14ac:dyDescent="0.35">
      <c r="A503" s="342"/>
      <c r="B503" s="269"/>
      <c r="C503" s="284"/>
      <c r="D503" s="532" t="s">
        <v>383</v>
      </c>
      <c r="E503" s="532"/>
      <c r="F503" s="532"/>
      <c r="G503" s="532"/>
      <c r="H503" s="532"/>
      <c r="I503" s="532"/>
      <c r="J503" s="532"/>
      <c r="K503" s="532"/>
      <c r="L503" s="532"/>
      <c r="M503" s="532"/>
      <c r="N503" s="532"/>
      <c r="O503" s="532"/>
      <c r="P503" s="264"/>
      <c r="Q503" s="256"/>
    </row>
    <row r="504" spans="1:17" ht="12.75" customHeight="1" x14ac:dyDescent="0.35">
      <c r="A504" s="342"/>
      <c r="B504" s="269"/>
      <c r="C504" s="284"/>
      <c r="D504" s="532"/>
      <c r="E504" s="532"/>
      <c r="F504" s="532"/>
      <c r="G504" s="532"/>
      <c r="H504" s="532"/>
      <c r="I504" s="532"/>
      <c r="J504" s="532"/>
      <c r="K504" s="532"/>
      <c r="L504" s="532"/>
      <c r="M504" s="532"/>
      <c r="N504" s="532"/>
      <c r="O504" s="532"/>
      <c r="P504" s="264"/>
      <c r="Q504" s="256"/>
    </row>
    <row r="505" spans="1:17" ht="12.75" customHeight="1" x14ac:dyDescent="0.35">
      <c r="A505" s="342"/>
      <c r="B505" s="269"/>
      <c r="C505" s="284"/>
      <c r="D505" s="532"/>
      <c r="E505" s="532"/>
      <c r="F505" s="532"/>
      <c r="G505" s="532"/>
      <c r="H505" s="532"/>
      <c r="I505" s="532"/>
      <c r="J505" s="532"/>
      <c r="K505" s="532"/>
      <c r="L505" s="532"/>
      <c r="M505" s="532"/>
      <c r="N505" s="532"/>
      <c r="O505" s="532"/>
      <c r="P505" s="264"/>
      <c r="Q505" s="256"/>
    </row>
    <row r="506" spans="1:17" ht="12.75" customHeight="1" x14ac:dyDescent="0.35">
      <c r="A506" s="342"/>
      <c r="B506" s="269"/>
      <c r="C506" s="284"/>
      <c r="D506" s="532"/>
      <c r="E506" s="532"/>
      <c r="F506" s="532"/>
      <c r="G506" s="532"/>
      <c r="H506" s="532"/>
      <c r="I506" s="532"/>
      <c r="J506" s="532"/>
      <c r="K506" s="532"/>
      <c r="L506" s="532"/>
      <c r="M506" s="532"/>
      <c r="N506" s="532"/>
      <c r="O506" s="532"/>
      <c r="P506" s="264"/>
      <c r="Q506" s="256"/>
    </row>
    <row r="507" spans="1:17" ht="12.75" customHeight="1" x14ac:dyDescent="0.35">
      <c r="A507" s="342"/>
      <c r="B507" s="269"/>
      <c r="C507" s="284"/>
      <c r="D507" s="532"/>
      <c r="E507" s="532"/>
      <c r="F507" s="532"/>
      <c r="G507" s="532"/>
      <c r="H507" s="532"/>
      <c r="I507" s="532"/>
      <c r="J507" s="532"/>
      <c r="K507" s="532"/>
      <c r="L507" s="532"/>
      <c r="M507" s="532"/>
      <c r="N507" s="532"/>
      <c r="O507" s="532"/>
      <c r="P507" s="264"/>
      <c r="Q507" s="256"/>
    </row>
    <row r="508" spans="1:17" ht="12.75" customHeight="1" x14ac:dyDescent="0.35">
      <c r="A508" s="342"/>
      <c r="B508" s="269"/>
      <c r="C508" s="284"/>
      <c r="D508" s="532"/>
      <c r="E508" s="532"/>
      <c r="F508" s="532"/>
      <c r="G508" s="532"/>
      <c r="H508" s="532"/>
      <c r="I508" s="532"/>
      <c r="J508" s="532"/>
      <c r="K508" s="532"/>
      <c r="L508" s="532"/>
      <c r="M508" s="532"/>
      <c r="N508" s="532"/>
      <c r="O508" s="532"/>
      <c r="P508" s="264"/>
      <c r="Q508" s="256"/>
    </row>
    <row r="509" spans="1:17" ht="12.75" customHeight="1" x14ac:dyDescent="0.35">
      <c r="A509" s="342"/>
      <c r="B509" s="269"/>
      <c r="C509" s="284"/>
      <c r="D509" s="532"/>
      <c r="E509" s="532"/>
      <c r="F509" s="532"/>
      <c r="G509" s="532"/>
      <c r="H509" s="532"/>
      <c r="I509" s="532"/>
      <c r="J509" s="532"/>
      <c r="K509" s="532"/>
      <c r="L509" s="532"/>
      <c r="M509" s="532"/>
      <c r="N509" s="532"/>
      <c r="O509" s="532"/>
      <c r="P509" s="264"/>
      <c r="Q509" s="256"/>
    </row>
    <row r="510" spans="1:17" ht="12.75" customHeight="1" x14ac:dyDescent="0.35">
      <c r="A510" s="342"/>
      <c r="B510" s="269"/>
      <c r="C510" s="284"/>
      <c r="D510" s="303" t="str">
        <f>CONCATENATE("NB.  Revenue expenditure on refurbishment should be included in Premises costs (line ",Questionnaire!B266,").")</f>
        <v>NB.  Revenue expenditure on refurbishment should be included in Premises costs (line 102).</v>
      </c>
      <c r="E510" s="286"/>
      <c r="F510" s="286"/>
      <c r="G510" s="286"/>
      <c r="H510" s="286"/>
      <c r="I510" s="286"/>
      <c r="J510" s="286"/>
      <c r="K510" s="286"/>
      <c r="L510" s="286"/>
      <c r="M510" s="286"/>
      <c r="N510" s="286"/>
      <c r="O510" s="286"/>
      <c r="P510" s="264"/>
      <c r="Q510" s="256"/>
    </row>
    <row r="511" spans="1:17" ht="12.75" customHeight="1" x14ac:dyDescent="0.35">
      <c r="A511" s="256"/>
      <c r="B511" s="308"/>
      <c r="C511" s="284"/>
      <c r="D511" s="272"/>
      <c r="E511" s="272"/>
      <c r="F511" s="272"/>
      <c r="G511" s="272"/>
      <c r="H511" s="272"/>
      <c r="I511" s="272"/>
      <c r="J511" s="272"/>
      <c r="K511" s="272"/>
      <c r="L511" s="272"/>
      <c r="M511" s="272"/>
      <c r="N511" s="272"/>
      <c r="O511" s="272"/>
      <c r="P511" s="264"/>
      <c r="Q511" s="256"/>
    </row>
    <row r="512" spans="1:17" ht="12.75" customHeight="1" x14ac:dyDescent="0.35">
      <c r="A512" s="342"/>
      <c r="B512" s="283"/>
      <c r="C512" s="284"/>
      <c r="D512" s="285" t="s">
        <v>226</v>
      </c>
      <c r="E512" s="272"/>
      <c r="F512" s="272"/>
      <c r="G512" s="272"/>
      <c r="H512" s="272"/>
      <c r="I512" s="272"/>
      <c r="J512" s="272"/>
      <c r="K512" s="272"/>
      <c r="L512" s="272"/>
      <c r="M512" s="272"/>
      <c r="N512" s="272"/>
      <c r="O512" s="272"/>
      <c r="P512" s="264"/>
      <c r="Q512" s="256"/>
    </row>
    <row r="513" spans="1:17" ht="12.75" customHeight="1" x14ac:dyDescent="0.35">
      <c r="A513" s="342"/>
      <c r="B513" s="310"/>
      <c r="C513" s="284"/>
      <c r="D513" s="309"/>
      <c r="E513" s="256"/>
      <c r="F513" s="256"/>
      <c r="G513" s="256"/>
      <c r="H513" s="256"/>
      <c r="I513" s="256"/>
      <c r="J513" s="256"/>
      <c r="K513" s="256"/>
      <c r="L513" s="256"/>
      <c r="M513" s="256"/>
      <c r="N513" s="256"/>
      <c r="O513" s="256"/>
      <c r="P513" s="264"/>
      <c r="Q513" s="256"/>
    </row>
    <row r="514" spans="1:17" ht="12.75" customHeight="1" x14ac:dyDescent="0.35">
      <c r="A514" s="342"/>
      <c r="B514" s="304"/>
      <c r="C514" s="284"/>
      <c r="D514" s="259" t="s">
        <v>384</v>
      </c>
      <c r="E514" s="272"/>
      <c r="F514" s="272"/>
      <c r="G514" s="272"/>
      <c r="H514" s="272"/>
      <c r="I514" s="272"/>
      <c r="J514" s="272"/>
      <c r="K514" s="272"/>
      <c r="L514" s="272"/>
      <c r="M514" s="272"/>
      <c r="N514" s="272"/>
      <c r="O514" s="272"/>
      <c r="P514" s="264"/>
      <c r="Q514" s="256"/>
    </row>
    <row r="515" spans="1:17" ht="12.75" customHeight="1" x14ac:dyDescent="0.35">
      <c r="A515" s="342"/>
      <c r="B515" s="269"/>
      <c r="C515" s="284"/>
      <c r="D515" s="533" t="s">
        <v>385</v>
      </c>
      <c r="E515" s="533"/>
      <c r="F515" s="533"/>
      <c r="G515" s="533"/>
      <c r="H515" s="533"/>
      <c r="I515" s="533"/>
      <c r="J515" s="533"/>
      <c r="K515" s="533"/>
      <c r="L515" s="533"/>
      <c r="M515" s="533"/>
      <c r="N515" s="533"/>
      <c r="O515" s="533"/>
      <c r="P515" s="264"/>
      <c r="Q515" s="256"/>
    </row>
    <row r="516" spans="1:17" ht="12.75" customHeight="1" x14ac:dyDescent="0.35">
      <c r="A516" s="342"/>
      <c r="B516" s="269"/>
      <c r="C516" s="284"/>
      <c r="D516" s="533"/>
      <c r="E516" s="533"/>
      <c r="F516" s="533"/>
      <c r="G516" s="533"/>
      <c r="H516" s="533"/>
      <c r="I516" s="533"/>
      <c r="J516" s="533"/>
      <c r="K516" s="533"/>
      <c r="L516" s="533"/>
      <c r="M516" s="533"/>
      <c r="N516" s="533"/>
      <c r="O516" s="533"/>
      <c r="P516" s="264"/>
      <c r="Q516" s="256"/>
    </row>
    <row r="517" spans="1:17" ht="12.75" customHeight="1" x14ac:dyDescent="0.35">
      <c r="A517" s="342"/>
      <c r="B517" s="269"/>
      <c r="C517" s="284"/>
      <c r="D517" s="533"/>
      <c r="E517" s="533"/>
      <c r="F517" s="533"/>
      <c r="G517" s="533"/>
      <c r="H517" s="533"/>
      <c r="I517" s="533"/>
      <c r="J517" s="533"/>
      <c r="K517" s="533"/>
      <c r="L517" s="533"/>
      <c r="M517" s="533"/>
      <c r="N517" s="533"/>
      <c r="O517" s="533"/>
      <c r="P517" s="264"/>
      <c r="Q517" s="256"/>
    </row>
    <row r="518" spans="1:17" ht="12.75" customHeight="1" x14ac:dyDescent="0.35">
      <c r="A518" s="342"/>
      <c r="B518" s="269"/>
      <c r="C518" s="284"/>
      <c r="D518" s="533" t="s">
        <v>386</v>
      </c>
      <c r="E518" s="533"/>
      <c r="F518" s="533"/>
      <c r="G518" s="533"/>
      <c r="H518" s="533"/>
      <c r="I518" s="533"/>
      <c r="J518" s="533"/>
      <c r="K518" s="533"/>
      <c r="L518" s="533"/>
      <c r="M518" s="533"/>
      <c r="N518" s="533"/>
      <c r="O518" s="533"/>
      <c r="P518" s="264"/>
      <c r="Q518" s="256"/>
    </row>
    <row r="519" spans="1:17" ht="12.75" customHeight="1" x14ac:dyDescent="0.35">
      <c r="A519" s="342"/>
      <c r="B519" s="269"/>
      <c r="C519" s="284"/>
      <c r="D519" s="533"/>
      <c r="E519" s="533"/>
      <c r="F519" s="533"/>
      <c r="G519" s="533"/>
      <c r="H519" s="533"/>
      <c r="I519" s="533"/>
      <c r="J519" s="533"/>
      <c r="K519" s="533"/>
      <c r="L519" s="533"/>
      <c r="M519" s="533"/>
      <c r="N519" s="533"/>
      <c r="O519" s="533"/>
      <c r="P519" s="264"/>
      <c r="Q519" s="256"/>
    </row>
    <row r="520" spans="1:17" ht="12.75" customHeight="1" x14ac:dyDescent="0.35">
      <c r="A520" s="342"/>
      <c r="B520" s="269"/>
      <c r="C520" s="284"/>
      <c r="D520" s="533"/>
      <c r="E520" s="533"/>
      <c r="F520" s="533"/>
      <c r="G520" s="533"/>
      <c r="H520" s="533"/>
      <c r="I520" s="533"/>
      <c r="J520" s="533"/>
      <c r="K520" s="533"/>
      <c r="L520" s="533"/>
      <c r="M520" s="533"/>
      <c r="N520" s="533"/>
      <c r="O520" s="533"/>
      <c r="P520" s="264"/>
      <c r="Q520" s="256"/>
    </row>
    <row r="521" spans="1:17" ht="12.75" customHeight="1" x14ac:dyDescent="0.35">
      <c r="A521" s="342"/>
      <c r="B521" s="269"/>
      <c r="C521" s="284"/>
      <c r="D521" s="533"/>
      <c r="E521" s="533"/>
      <c r="F521" s="533"/>
      <c r="G521" s="533"/>
      <c r="H521" s="533"/>
      <c r="I521" s="533"/>
      <c r="J521" s="533"/>
      <c r="K521" s="533"/>
      <c r="L521" s="533"/>
      <c r="M521" s="533"/>
      <c r="N521" s="533"/>
      <c r="O521" s="533"/>
      <c r="P521" s="264"/>
      <c r="Q521" s="256"/>
    </row>
    <row r="522" spans="1:17" ht="12.75" customHeight="1" x14ac:dyDescent="0.35">
      <c r="A522" s="342"/>
      <c r="B522" s="269"/>
      <c r="C522" s="284"/>
      <c r="D522" s="533"/>
      <c r="E522" s="533"/>
      <c r="F522" s="533"/>
      <c r="G522" s="533"/>
      <c r="H522" s="533"/>
      <c r="I522" s="533"/>
      <c r="J522" s="533"/>
      <c r="K522" s="533"/>
      <c r="L522" s="533"/>
      <c r="M522" s="533"/>
      <c r="N522" s="533"/>
      <c r="O522" s="533"/>
      <c r="P522" s="264"/>
      <c r="Q522" s="256"/>
    </row>
    <row r="523" spans="1:17" ht="12.75" customHeight="1" x14ac:dyDescent="0.35">
      <c r="A523" s="342"/>
      <c r="B523" s="269"/>
      <c r="C523" s="315"/>
      <c r="D523" s="532" t="s">
        <v>387</v>
      </c>
      <c r="E523" s="532"/>
      <c r="F523" s="532"/>
      <c r="G523" s="532"/>
      <c r="H523" s="532"/>
      <c r="I523" s="532"/>
      <c r="J523" s="532"/>
      <c r="K523" s="532"/>
      <c r="L523" s="532"/>
      <c r="M523" s="532"/>
      <c r="N523" s="532"/>
      <c r="O523" s="532"/>
      <c r="P523" s="264"/>
      <c r="Q523" s="256"/>
    </row>
    <row r="524" spans="1:17" ht="12.75" customHeight="1" x14ac:dyDescent="0.35">
      <c r="A524" s="342"/>
      <c r="B524" s="269"/>
      <c r="C524" s="315"/>
      <c r="D524" s="532"/>
      <c r="E524" s="532"/>
      <c r="F524" s="532"/>
      <c r="G524" s="532"/>
      <c r="H524" s="532"/>
      <c r="I524" s="532"/>
      <c r="J524" s="532"/>
      <c r="K524" s="532"/>
      <c r="L524" s="532"/>
      <c r="M524" s="532"/>
      <c r="N524" s="532"/>
      <c r="O524" s="532"/>
      <c r="P524" s="264"/>
      <c r="Q524" s="256"/>
    </row>
    <row r="525" spans="1:17" ht="12.75" customHeight="1" thickBot="1" x14ac:dyDescent="0.4">
      <c r="A525" s="256"/>
      <c r="B525" s="325"/>
      <c r="C525" s="326"/>
      <c r="D525" s="305"/>
      <c r="E525" s="327"/>
      <c r="F525" s="327"/>
      <c r="G525" s="327"/>
      <c r="H525" s="327"/>
      <c r="I525" s="327"/>
      <c r="J525" s="327"/>
      <c r="K525" s="327"/>
      <c r="L525" s="327"/>
      <c r="M525" s="327"/>
      <c r="N525" s="327"/>
      <c r="O525" s="327"/>
      <c r="P525" s="292"/>
      <c r="Q525" s="256"/>
    </row>
    <row r="526" spans="1:17" ht="12.75" customHeight="1" x14ac:dyDescent="0.35">
      <c r="A526" s="256"/>
      <c r="B526" s="552" t="s">
        <v>388</v>
      </c>
      <c r="C526" s="553"/>
      <c r="D526" s="553"/>
      <c r="E526" s="553"/>
      <c r="F526" s="553"/>
      <c r="G526" s="553"/>
      <c r="H526" s="553"/>
      <c r="I526" s="553"/>
      <c r="J526" s="553"/>
      <c r="K526" s="553"/>
      <c r="L526" s="553"/>
      <c r="M526" s="553"/>
      <c r="N526" s="553"/>
      <c r="O526" s="553"/>
      <c r="P526" s="554"/>
      <c r="Q526" s="256"/>
    </row>
    <row r="527" spans="1:17" ht="15" customHeight="1" x14ac:dyDescent="0.35">
      <c r="A527" s="256"/>
      <c r="B527" s="555"/>
      <c r="C527" s="556"/>
      <c r="D527" s="556"/>
      <c r="E527" s="556"/>
      <c r="F527" s="556"/>
      <c r="G527" s="556"/>
      <c r="H527" s="556"/>
      <c r="I527" s="556"/>
      <c r="J527" s="556"/>
      <c r="K527" s="556"/>
      <c r="L527" s="556"/>
      <c r="M527" s="556"/>
      <c r="N527" s="556"/>
      <c r="O527" s="556"/>
      <c r="P527" s="557"/>
      <c r="Q527" s="256"/>
    </row>
    <row r="528" spans="1:17" ht="15" customHeight="1" x14ac:dyDescent="0.35">
      <c r="A528" s="256"/>
      <c r="B528" s="549" t="s">
        <v>389</v>
      </c>
      <c r="C528" s="550"/>
      <c r="D528" s="550"/>
      <c r="E528" s="550"/>
      <c r="F528" s="550"/>
      <c r="G528" s="550"/>
      <c r="H528" s="550"/>
      <c r="I528" s="550"/>
      <c r="J528" s="550"/>
      <c r="K528" s="550"/>
      <c r="L528" s="550"/>
      <c r="M528" s="550"/>
      <c r="N528" s="550"/>
      <c r="O528" s="550"/>
      <c r="P528" s="551"/>
      <c r="Q528" s="256"/>
    </row>
    <row r="529" spans="1:17" ht="15" customHeight="1" thickBot="1" x14ac:dyDescent="0.4">
      <c r="A529" s="256"/>
      <c r="B529" s="325"/>
      <c r="C529" s="326"/>
      <c r="D529" s="305"/>
      <c r="E529" s="327"/>
      <c r="F529" s="327"/>
      <c r="G529" s="327"/>
      <c r="H529" s="327"/>
      <c r="I529" s="327"/>
      <c r="J529" s="327"/>
      <c r="K529" s="327"/>
      <c r="L529" s="327"/>
      <c r="M529" s="327"/>
      <c r="N529" s="327"/>
      <c r="O529" s="327"/>
      <c r="P529" s="292"/>
      <c r="Q529" s="256"/>
    </row>
    <row r="530" spans="1:17" ht="7.5" customHeight="1" x14ac:dyDescent="0.35">
      <c r="A530" s="256"/>
      <c r="B530" s="286"/>
      <c r="C530" s="280"/>
      <c r="D530" s="286"/>
      <c r="E530" s="261"/>
      <c r="F530" s="261"/>
      <c r="G530" s="261"/>
      <c r="H530" s="261"/>
      <c r="I530" s="261"/>
      <c r="J530" s="261"/>
      <c r="K530" s="261"/>
      <c r="L530" s="261"/>
      <c r="M530" s="261"/>
      <c r="N530" s="261"/>
      <c r="O530" s="261"/>
      <c r="P530" s="256"/>
      <c r="Q530" s="256"/>
    </row>
    <row r="531" spans="1:17" ht="12.75" customHeight="1" x14ac:dyDescent="0.35">
      <c r="A531" s="256"/>
      <c r="B531" s="547" t="e">
        <f>Contacts!B59</f>
        <v>#REF!</v>
      </c>
      <c r="C531" s="547"/>
      <c r="D531" s="547"/>
      <c r="E531" s="547"/>
      <c r="F531" s="547"/>
      <c r="G531" s="547"/>
      <c r="H531" s="547"/>
      <c r="I531" s="547"/>
      <c r="J531" s="547"/>
      <c r="K531" s="547"/>
      <c r="L531" s="547"/>
      <c r="M531" s="547"/>
      <c r="N531" s="547"/>
      <c r="O531" s="547"/>
      <c r="P531" s="547"/>
      <c r="Q531" s="261"/>
    </row>
    <row r="532" spans="1:17" ht="12.75" customHeight="1" x14ac:dyDescent="0.35">
      <c r="A532" s="256"/>
      <c r="B532" s="548" t="str">
        <f>Contacts!B60</f>
        <v>The Chartered Institute of Public Finance and Accountancy (CIPFA)</v>
      </c>
      <c r="C532" s="548"/>
      <c r="D532" s="548"/>
      <c r="E532" s="548"/>
      <c r="F532" s="548"/>
      <c r="G532" s="548"/>
      <c r="H532" s="548"/>
      <c r="I532" s="548"/>
      <c r="J532" s="548"/>
      <c r="K532" s="548"/>
      <c r="L532" s="548"/>
      <c r="M532" s="548"/>
      <c r="N532" s="548"/>
      <c r="O532" s="548"/>
      <c r="P532" s="548"/>
      <c r="Q532" s="261"/>
    </row>
    <row r="533" spans="1:17" ht="12.75" customHeight="1" x14ac:dyDescent="0.35">
      <c r="A533" s="256"/>
      <c r="B533" s="547" t="str">
        <f>Contacts!B61</f>
        <v>77 Mansell Street, London, E1 8AN</v>
      </c>
      <c r="C533" s="547"/>
      <c r="D533" s="547"/>
      <c r="E533" s="547"/>
      <c r="F533" s="547"/>
      <c r="G533" s="547"/>
      <c r="H533" s="547"/>
      <c r="I533" s="547"/>
      <c r="J533" s="547"/>
      <c r="K533" s="547"/>
      <c r="L533" s="547"/>
      <c r="M533" s="547"/>
      <c r="N533" s="547"/>
      <c r="O533" s="547"/>
      <c r="P533" s="547"/>
      <c r="Q533" s="261"/>
    </row>
    <row r="534" spans="1:17" ht="12.75" customHeight="1" x14ac:dyDescent="0.35">
      <c r="A534" s="256"/>
      <c r="B534" s="256"/>
      <c r="C534" s="256"/>
      <c r="D534" s="256"/>
      <c r="E534" s="256"/>
      <c r="F534" s="256"/>
      <c r="G534" s="256"/>
      <c r="H534" s="256"/>
      <c r="I534" s="256"/>
      <c r="J534" s="256"/>
      <c r="K534" s="256"/>
      <c r="L534" s="256"/>
      <c r="M534" s="256"/>
      <c r="N534" s="256"/>
      <c r="O534" s="256"/>
      <c r="P534" s="256"/>
      <c r="Q534" s="256"/>
    </row>
    <row r="535" spans="1:17" ht="12.75" customHeight="1" x14ac:dyDescent="0.35"/>
    <row r="536" spans="1:17" ht="12.75" customHeight="1" x14ac:dyDescent="0.35"/>
    <row r="537" spans="1:17" ht="12.75" customHeight="1" x14ac:dyDescent="0.35"/>
    <row r="538" spans="1:17" ht="12.75" customHeight="1" x14ac:dyDescent="0.35"/>
    <row r="539" spans="1:17" ht="12.75" customHeight="1" x14ac:dyDescent="0.35"/>
    <row r="540" spans="1:17" ht="12.75" customHeight="1" x14ac:dyDescent="0.35"/>
    <row r="541" spans="1:17" ht="12.75" customHeight="1" x14ac:dyDescent="0.35"/>
    <row r="542" spans="1:17" ht="12.75" customHeight="1" x14ac:dyDescent="0.35"/>
    <row r="543" spans="1:17" ht="12.75" customHeight="1" x14ac:dyDescent="0.35"/>
    <row r="544" spans="1:17" ht="12.75" customHeight="1" x14ac:dyDescent="0.35"/>
    <row r="545" ht="12.75" customHeight="1" x14ac:dyDescent="0.35"/>
    <row r="546" ht="12.75" customHeight="1" x14ac:dyDescent="0.35"/>
    <row r="547" ht="12.75" customHeight="1" x14ac:dyDescent="0.35"/>
    <row r="548" ht="12.75" customHeight="1" x14ac:dyDescent="0.35"/>
    <row r="549" ht="12.75" customHeight="1" x14ac:dyDescent="0.35"/>
    <row r="550" ht="12.75" customHeight="1" x14ac:dyDescent="0.35"/>
    <row r="551" ht="12.75" customHeight="1" x14ac:dyDescent="0.35"/>
    <row r="552" ht="12.75" customHeight="1" x14ac:dyDescent="0.35"/>
    <row r="553" ht="12.75" customHeight="1" x14ac:dyDescent="0.35"/>
    <row r="554" ht="12.75" customHeight="1" x14ac:dyDescent="0.35"/>
    <row r="555" ht="12.75" customHeight="1" x14ac:dyDescent="0.35"/>
    <row r="556" ht="12.75" customHeight="1" x14ac:dyDescent="0.35"/>
    <row r="557" ht="12.75" customHeight="1" x14ac:dyDescent="0.35"/>
    <row r="558" ht="12.75" customHeight="1" x14ac:dyDescent="0.35"/>
    <row r="559" ht="12.75" customHeight="1" x14ac:dyDescent="0.35"/>
    <row r="560" ht="12.75" customHeight="1" x14ac:dyDescent="0.35"/>
    <row r="561" ht="12.75" customHeight="1" x14ac:dyDescent="0.35"/>
    <row r="562" ht="12.75" customHeight="1" x14ac:dyDescent="0.35"/>
    <row r="563" ht="12.75" customHeight="1" x14ac:dyDescent="0.35"/>
    <row r="564" ht="12.75" customHeight="1" x14ac:dyDescent="0.35"/>
    <row r="565" ht="12.75" customHeight="1" x14ac:dyDescent="0.35"/>
    <row r="566" ht="12.75" customHeight="1" x14ac:dyDescent="0.35"/>
    <row r="567" ht="12.75" customHeight="1" x14ac:dyDescent="0.35"/>
    <row r="568" ht="12.75" customHeight="1" x14ac:dyDescent="0.35"/>
    <row r="569" ht="12.75" customHeight="1" x14ac:dyDescent="0.35"/>
    <row r="570" ht="12.75" customHeight="1" x14ac:dyDescent="0.35"/>
    <row r="571" ht="12.75" customHeight="1" x14ac:dyDescent="0.35"/>
    <row r="572" ht="12.75" customHeight="1" x14ac:dyDescent="0.35"/>
    <row r="573" ht="12.75" customHeight="1" x14ac:dyDescent="0.35"/>
    <row r="574" ht="12.75" customHeight="1" x14ac:dyDescent="0.35"/>
    <row r="575" ht="12.75" customHeight="1" x14ac:dyDescent="0.35"/>
    <row r="576" ht="12.75" customHeight="1" x14ac:dyDescent="0.35"/>
    <row r="577" ht="12.75" customHeight="1" x14ac:dyDescent="0.35"/>
    <row r="578" ht="12.75" customHeight="1" x14ac:dyDescent="0.35"/>
    <row r="579" ht="12.75" customHeight="1" x14ac:dyDescent="0.35"/>
    <row r="580" ht="12.75" customHeight="1" x14ac:dyDescent="0.35"/>
    <row r="581" ht="12.75" customHeight="1" x14ac:dyDescent="0.35"/>
    <row r="582" ht="12.75" customHeight="1" x14ac:dyDescent="0.35"/>
    <row r="583" ht="12.75" customHeight="1" x14ac:dyDescent="0.35"/>
    <row r="584" ht="12.75" customHeight="1" x14ac:dyDescent="0.35"/>
    <row r="585" ht="12.75" customHeight="1" x14ac:dyDescent="0.35"/>
    <row r="586" ht="12.75" customHeight="1" x14ac:dyDescent="0.35"/>
    <row r="587" ht="12.75" customHeight="1" x14ac:dyDescent="0.35"/>
    <row r="588" ht="12.75" customHeight="1" x14ac:dyDescent="0.35"/>
    <row r="589" ht="12.75" customHeight="1" x14ac:dyDescent="0.35"/>
    <row r="590" ht="12.75" customHeight="1" x14ac:dyDescent="0.35"/>
    <row r="591" ht="12.75" customHeight="1" x14ac:dyDescent="0.35"/>
    <row r="592" ht="12.75" customHeight="1" x14ac:dyDescent="0.35"/>
    <row r="593" ht="12.75" customHeight="1" x14ac:dyDescent="0.35"/>
    <row r="594" ht="12.75" customHeight="1" x14ac:dyDescent="0.35"/>
    <row r="595" ht="12.75" customHeight="1" x14ac:dyDescent="0.35"/>
    <row r="596" ht="12.75" customHeight="1" x14ac:dyDescent="0.35"/>
    <row r="597" ht="12.75" customHeight="1" x14ac:dyDescent="0.35"/>
    <row r="598" ht="12.75" customHeight="1" x14ac:dyDescent="0.35"/>
    <row r="599" ht="12.75" customHeight="1" x14ac:dyDescent="0.35"/>
    <row r="600" ht="12.75" customHeight="1" x14ac:dyDescent="0.35"/>
    <row r="601" ht="12.75" customHeight="1" x14ac:dyDescent="0.35"/>
    <row r="602" ht="12.75" customHeight="1" x14ac:dyDescent="0.35"/>
    <row r="603" ht="12.75" customHeight="1" x14ac:dyDescent="0.35"/>
    <row r="604" ht="12.75" customHeight="1" x14ac:dyDescent="0.35"/>
    <row r="605" ht="12.75" customHeight="1" x14ac:dyDescent="0.35"/>
    <row r="606" ht="12.75" customHeight="1" x14ac:dyDescent="0.35"/>
    <row r="607" ht="12.75" customHeight="1" x14ac:dyDescent="0.35"/>
    <row r="608" ht="12.75" customHeight="1" x14ac:dyDescent="0.35"/>
    <row r="609" ht="12.75" customHeight="1" x14ac:dyDescent="0.35"/>
    <row r="610" ht="12.75" customHeight="1" x14ac:dyDescent="0.35"/>
    <row r="611" ht="12.75" customHeight="1" x14ac:dyDescent="0.35"/>
    <row r="612" ht="12.75" customHeight="1" x14ac:dyDescent="0.35"/>
    <row r="613" ht="12.75" customHeight="1" x14ac:dyDescent="0.35"/>
    <row r="614" ht="12.75" customHeight="1" x14ac:dyDescent="0.35"/>
    <row r="615" ht="12.75" customHeight="1" x14ac:dyDescent="0.35"/>
    <row r="616" ht="12.75" customHeight="1" x14ac:dyDescent="0.35"/>
    <row r="617" ht="12.75" customHeight="1" x14ac:dyDescent="0.35"/>
    <row r="618" ht="12.75" customHeight="1" x14ac:dyDescent="0.35"/>
    <row r="619" ht="12.75" customHeight="1" x14ac:dyDescent="0.35"/>
    <row r="620" ht="12.75" customHeight="1" x14ac:dyDescent="0.35"/>
    <row r="621" ht="12.75" customHeight="1" x14ac:dyDescent="0.35"/>
    <row r="622" ht="12.75" customHeight="1" x14ac:dyDescent="0.35"/>
    <row r="623" ht="12.75" customHeight="1" x14ac:dyDescent="0.35"/>
    <row r="624" ht="12.75" customHeight="1" x14ac:dyDescent="0.35"/>
    <row r="625" ht="12.75" customHeight="1" x14ac:dyDescent="0.35"/>
    <row r="626" ht="12.75" customHeight="1" x14ac:dyDescent="0.35"/>
    <row r="627" ht="12.75" customHeight="1" x14ac:dyDescent="0.35"/>
    <row r="628" ht="12.75" customHeight="1" x14ac:dyDescent="0.35"/>
    <row r="629" ht="12.75" customHeight="1" x14ac:dyDescent="0.35"/>
    <row r="630" ht="12.75" customHeight="1" x14ac:dyDescent="0.35"/>
    <row r="631" ht="12.75" customHeight="1" x14ac:dyDescent="0.35"/>
    <row r="632" ht="12.75" customHeight="1" x14ac:dyDescent="0.35"/>
    <row r="633" ht="12.75" customHeight="1" x14ac:dyDescent="0.35"/>
    <row r="634" ht="12.75" customHeight="1" x14ac:dyDescent="0.35"/>
    <row r="635" ht="12.75" customHeight="1" x14ac:dyDescent="0.35"/>
    <row r="636" ht="12.75" customHeight="1" x14ac:dyDescent="0.35"/>
    <row r="637" ht="12.75" customHeight="1" x14ac:dyDescent="0.35"/>
    <row r="638" ht="12.75" customHeight="1" x14ac:dyDescent="0.35"/>
    <row r="639" ht="12.75" customHeight="1" x14ac:dyDescent="0.35"/>
    <row r="640" ht="12.75" customHeight="1" x14ac:dyDescent="0.35"/>
    <row r="641" ht="12.75" customHeight="1" x14ac:dyDescent="0.35"/>
    <row r="642" ht="12.75" customHeight="1" x14ac:dyDescent="0.35"/>
    <row r="643" ht="12.75" customHeight="1" x14ac:dyDescent="0.35"/>
    <row r="644" ht="12.75" customHeight="1" x14ac:dyDescent="0.35"/>
    <row r="645" ht="12.75" customHeight="1" x14ac:dyDescent="0.35"/>
    <row r="646" ht="12.75" customHeight="1" x14ac:dyDescent="0.35"/>
    <row r="647" ht="12.75" customHeight="1" x14ac:dyDescent="0.35"/>
    <row r="648" ht="12.75" customHeight="1" x14ac:dyDescent="0.35"/>
    <row r="649" ht="12.75" customHeight="1" x14ac:dyDescent="0.35"/>
    <row r="650" ht="12.75" customHeight="1" x14ac:dyDescent="0.35"/>
    <row r="651" ht="12.75" customHeight="1" x14ac:dyDescent="0.35"/>
    <row r="652" ht="12.75" customHeight="1" x14ac:dyDescent="0.35"/>
    <row r="653" ht="12.75" customHeight="1" x14ac:dyDescent="0.35"/>
    <row r="654" ht="12.75" customHeight="1" x14ac:dyDescent="0.35"/>
    <row r="655" ht="12.75" customHeight="1" x14ac:dyDescent="0.35"/>
    <row r="656" ht="12.75" customHeight="1" x14ac:dyDescent="0.35"/>
    <row r="657" ht="12.75" customHeight="1" x14ac:dyDescent="0.35"/>
    <row r="658" ht="12.75" customHeight="1" x14ac:dyDescent="0.35"/>
    <row r="659" ht="12.75" customHeight="1" x14ac:dyDescent="0.35"/>
    <row r="660" ht="12.75" customHeight="1" x14ac:dyDescent="0.35"/>
    <row r="661" ht="12.75" customHeight="1" x14ac:dyDescent="0.35"/>
    <row r="662" ht="12.75" customHeight="1" x14ac:dyDescent="0.35"/>
    <row r="663" ht="12.75" customHeight="1" x14ac:dyDescent="0.35"/>
    <row r="664" ht="12.75" customHeight="1" x14ac:dyDescent="0.35"/>
    <row r="665" ht="12.75" customHeight="1" x14ac:dyDescent="0.35"/>
    <row r="666" ht="12.75" customHeight="1" x14ac:dyDescent="0.35"/>
    <row r="667" ht="12.75" customHeight="1" x14ac:dyDescent="0.35"/>
    <row r="668" ht="12.75" customHeight="1" x14ac:dyDescent="0.35"/>
    <row r="669" ht="12.75" customHeight="1" x14ac:dyDescent="0.35"/>
    <row r="670" ht="12.75" customHeight="1" x14ac:dyDescent="0.35"/>
    <row r="671" ht="12.75" customHeight="1" x14ac:dyDescent="0.35"/>
    <row r="672" ht="12.75" customHeight="1" x14ac:dyDescent="0.35"/>
    <row r="673" ht="12.75" customHeight="1" x14ac:dyDescent="0.35"/>
    <row r="674" ht="12.75" customHeight="1" x14ac:dyDescent="0.35"/>
    <row r="675" ht="12.75" customHeight="1" x14ac:dyDescent="0.35"/>
    <row r="676" ht="12.75" customHeight="1" x14ac:dyDescent="0.35"/>
    <row r="677" ht="12.75" customHeight="1" x14ac:dyDescent="0.35"/>
    <row r="678" ht="12.75" customHeight="1" x14ac:dyDescent="0.35"/>
    <row r="679" ht="12.75" customHeight="1" x14ac:dyDescent="0.35"/>
    <row r="680" ht="12.75" customHeight="1" x14ac:dyDescent="0.35"/>
    <row r="681" ht="12.75" customHeight="1" x14ac:dyDescent="0.35"/>
    <row r="682" ht="12.75" customHeight="1" x14ac:dyDescent="0.35"/>
    <row r="683" ht="12.75" customHeight="1" x14ac:dyDescent="0.35"/>
    <row r="684" ht="12.75" customHeight="1" x14ac:dyDescent="0.35"/>
    <row r="685" ht="12.75" customHeight="1" x14ac:dyDescent="0.35"/>
    <row r="686" ht="12.75" customHeight="1" x14ac:dyDescent="0.35"/>
    <row r="687" ht="12.75" customHeight="1" x14ac:dyDescent="0.35"/>
    <row r="688" ht="12.75" customHeight="1" x14ac:dyDescent="0.35"/>
  </sheetData>
  <mergeCells count="106">
    <mergeCell ref="B532:P532"/>
    <mergeCell ref="D372:O376"/>
    <mergeCell ref="D462:O464"/>
    <mergeCell ref="D266:O267"/>
    <mergeCell ref="D452:O453"/>
    <mergeCell ref="B533:P533"/>
    <mergeCell ref="B528:P528"/>
    <mergeCell ref="D284:O285"/>
    <mergeCell ref="D286:O287"/>
    <mergeCell ref="D293:O295"/>
    <mergeCell ref="E303:O306"/>
    <mergeCell ref="D298:O299"/>
    <mergeCell ref="D423:O424"/>
    <mergeCell ref="D343:O349"/>
    <mergeCell ref="D340:O341"/>
    <mergeCell ref="D488:O491"/>
    <mergeCell ref="D476:O480"/>
    <mergeCell ref="D471:O475"/>
    <mergeCell ref="D309:O315"/>
    <mergeCell ref="D317:O322"/>
    <mergeCell ref="B526:P527"/>
    <mergeCell ref="D387:O389"/>
    <mergeCell ref="D350:O352"/>
    <mergeCell ref="E324:O326"/>
    <mergeCell ref="D484:O485"/>
    <mergeCell ref="D499:O500"/>
    <mergeCell ref="D55:O57"/>
    <mergeCell ref="D467:O468"/>
    <mergeCell ref="D410:O412"/>
    <mergeCell ref="B531:P531"/>
    <mergeCell ref="D263:O264"/>
    <mergeCell ref="E327:O328"/>
    <mergeCell ref="E329:O332"/>
    <mergeCell ref="D503:O509"/>
    <mergeCell ref="D515:O517"/>
    <mergeCell ref="D518:O522"/>
    <mergeCell ref="D523:O524"/>
    <mergeCell ref="D273:O274"/>
    <mergeCell ref="D396:O398"/>
    <mergeCell ref="D439:O441"/>
    <mergeCell ref="D444:O449"/>
    <mergeCell ref="D401:O403"/>
    <mergeCell ref="D406:O407"/>
    <mergeCell ref="E333:O334"/>
    <mergeCell ref="E335:O336"/>
    <mergeCell ref="D379:O381"/>
    <mergeCell ref="D427:O431"/>
    <mergeCell ref="D434:O436"/>
    <mergeCell ref="C18:P18"/>
    <mergeCell ref="K20:O22"/>
    <mergeCell ref="D46:O51"/>
    <mergeCell ref="D229:O230"/>
    <mergeCell ref="D122:O126"/>
    <mergeCell ref="D365:O367"/>
    <mergeCell ref="D65:O66"/>
    <mergeCell ref="D148:O150"/>
    <mergeCell ref="D279:O281"/>
    <mergeCell ref="D210:O213"/>
    <mergeCell ref="D217:O223"/>
    <mergeCell ref="D174:O175"/>
    <mergeCell ref="D152:O153"/>
    <mergeCell ref="D198:O198"/>
    <mergeCell ref="D129:O130"/>
    <mergeCell ref="E236:O237"/>
    <mergeCell ref="D190:O191"/>
    <mergeCell ref="D85:O87"/>
    <mergeCell ref="D154:O162"/>
    <mergeCell ref="D188:O189"/>
    <mergeCell ref="D133:O135"/>
    <mergeCell ref="D176:O184"/>
    <mergeCell ref="D169:O172"/>
    <mergeCell ref="D78:O79"/>
    <mergeCell ref="D138:O139"/>
    <mergeCell ref="E234:O235"/>
    <mergeCell ref="D90:O94"/>
    <mergeCell ref="D256:O260"/>
    <mergeCell ref="E301:O302"/>
    <mergeCell ref="D252:O252"/>
    <mergeCell ref="D196:O197"/>
    <mergeCell ref="D416:O417"/>
    <mergeCell ref="D392:O395"/>
    <mergeCell ref="D382:O384"/>
    <mergeCell ref="D420:O422"/>
    <mergeCell ref="D203:O207"/>
    <mergeCell ref="D356:O360"/>
    <mergeCell ref="D377:O378"/>
    <mergeCell ref="C1:L1"/>
    <mergeCell ref="D42:O44"/>
    <mergeCell ref="B10:P10"/>
    <mergeCell ref="D192:O193"/>
    <mergeCell ref="D164:O165"/>
    <mergeCell ref="D142:O143"/>
    <mergeCell ref="B30:P30"/>
    <mergeCell ref="C27:O27"/>
    <mergeCell ref="D108:O109"/>
    <mergeCell ref="D36:O37"/>
    <mergeCell ref="D110:O111"/>
    <mergeCell ref="D58:O58"/>
    <mergeCell ref="D59:O61"/>
    <mergeCell ref="D104:O106"/>
    <mergeCell ref="D115:O116"/>
    <mergeCell ref="D81:O82"/>
    <mergeCell ref="D96:O97"/>
    <mergeCell ref="C7:O7"/>
    <mergeCell ref="D62:O64"/>
    <mergeCell ref="D194:O195"/>
  </mergeCells>
  <phoneticPr fontId="0" type="noConversion"/>
  <hyperlinks>
    <hyperlink ref="K16" r:id="rId1" xr:uid="{00000000-0004-0000-0300-000000000000}"/>
  </hyperlinks>
  <printOptions horizontalCentered="1"/>
  <pageMargins left="0.19685039370078741" right="0.19685039370078741" top="0.19685039370078741" bottom="0.19685039370078741" header="0.19685039370078741" footer="0.19685039370078741"/>
  <pageSetup paperSize="9" scale="86" fitToHeight="0" orientation="portrait" r:id="rId2"/>
  <headerFooter alignWithMargins="0"/>
  <rowBreaks count="8" manualBreakCount="8">
    <brk id="52" max="16" man="1"/>
    <brk id="117" max="16" man="1"/>
    <brk id="166" max="16" man="1"/>
    <brk id="224" max="16" man="1"/>
    <brk id="288" max="16" man="1"/>
    <brk id="353" max="16" man="1"/>
    <brk id="413" max="16" man="1"/>
    <brk id="481" max="16"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234</vt:i4>
      </vt:variant>
    </vt:vector>
  </HeadingPairs>
  <TitlesOfParts>
    <vt:vector size="238" baseType="lpstr">
      <vt:lpstr>Contacts</vt:lpstr>
      <vt:lpstr>Service Points</vt:lpstr>
      <vt:lpstr>Questionnaire</vt:lpstr>
      <vt:lpstr>Guidance Notes</vt:lpstr>
      <vt:lpstr>Authority</vt:lpstr>
      <vt:lpstr>Email1</vt:lpstr>
      <vt:lpstr>Email2</vt:lpstr>
      <vt:lpstr>FLAS</vt:lpstr>
      <vt:lpstr>Job_Title1</vt:lpstr>
      <vt:lpstr>Job_Title2</vt:lpstr>
      <vt:lpstr>LIBR0001</vt:lpstr>
      <vt:lpstr>LIBR0002</vt:lpstr>
      <vt:lpstr>LIBR0003</vt:lpstr>
      <vt:lpstr>LIBR0004</vt:lpstr>
      <vt:lpstr>LIBR0005</vt:lpstr>
      <vt:lpstr>LIBR0006</vt:lpstr>
      <vt:lpstr>LIBR0007</vt:lpstr>
      <vt:lpstr>LIBR0008</vt:lpstr>
      <vt:lpstr>LIBR0009</vt:lpstr>
      <vt:lpstr>LIBR0010</vt:lpstr>
      <vt:lpstr>LIBR0011</vt:lpstr>
      <vt:lpstr>LIBR0012</vt:lpstr>
      <vt:lpstr>LIBR0014</vt:lpstr>
      <vt:lpstr>LIBR0015</vt:lpstr>
      <vt:lpstr>LIBR0016</vt:lpstr>
      <vt:lpstr>LIBR0017</vt:lpstr>
      <vt:lpstr>LIBR0018</vt:lpstr>
      <vt:lpstr>LIBR0019</vt:lpstr>
      <vt:lpstr>LIBR0020</vt:lpstr>
      <vt:lpstr>LIBR0021</vt:lpstr>
      <vt:lpstr>LIBR0022</vt:lpstr>
      <vt:lpstr>LIBR0023</vt:lpstr>
      <vt:lpstr>LIBR0024</vt:lpstr>
      <vt:lpstr>LIBR0025</vt:lpstr>
      <vt:lpstr>LIBR0026</vt:lpstr>
      <vt:lpstr>LIBR0027</vt:lpstr>
      <vt:lpstr>LIBR0028</vt:lpstr>
      <vt:lpstr>LIBR0029</vt:lpstr>
      <vt:lpstr>LIBR0030</vt:lpstr>
      <vt:lpstr>LIBR0031</vt:lpstr>
      <vt:lpstr>LIBR0032</vt:lpstr>
      <vt:lpstr>LIBR0033</vt:lpstr>
      <vt:lpstr>LIBR0034</vt:lpstr>
      <vt:lpstr>LIBR0035</vt:lpstr>
      <vt:lpstr>LIBR0036</vt:lpstr>
      <vt:lpstr>LIBR0037</vt:lpstr>
      <vt:lpstr>LIBR0038</vt:lpstr>
      <vt:lpstr>LIBR0039</vt:lpstr>
      <vt:lpstr>LIBR0041</vt:lpstr>
      <vt:lpstr>LIBR0042</vt:lpstr>
      <vt:lpstr>LIBR0049</vt:lpstr>
      <vt:lpstr>LIBR0050</vt:lpstr>
      <vt:lpstr>LIBR0051</vt:lpstr>
      <vt:lpstr>LIBR0052</vt:lpstr>
      <vt:lpstr>LIBR0054</vt:lpstr>
      <vt:lpstr>LIBR0055</vt:lpstr>
      <vt:lpstr>LIBR0062</vt:lpstr>
      <vt:lpstr>LIBR0063</vt:lpstr>
      <vt:lpstr>LIBR0064</vt:lpstr>
      <vt:lpstr>LIBR0065</vt:lpstr>
      <vt:lpstr>LIBR0066</vt:lpstr>
      <vt:lpstr>LIBR0067</vt:lpstr>
      <vt:lpstr>LIBR0068</vt:lpstr>
      <vt:lpstr>LIBR0069</vt:lpstr>
      <vt:lpstr>LIBR0070</vt:lpstr>
      <vt:lpstr>LIBR0071</vt:lpstr>
      <vt:lpstr>LIBR0072</vt:lpstr>
      <vt:lpstr>LIBR0073</vt:lpstr>
      <vt:lpstr>LIBR0075</vt:lpstr>
      <vt:lpstr>LIBR0076</vt:lpstr>
      <vt:lpstr>LIBR0083</vt:lpstr>
      <vt:lpstr>LIBR0084</vt:lpstr>
      <vt:lpstr>LIBR0085</vt:lpstr>
      <vt:lpstr>LIBR0086</vt:lpstr>
      <vt:lpstr>LIBR0087</vt:lpstr>
      <vt:lpstr>LIBR0088</vt:lpstr>
      <vt:lpstr>LIBR0089</vt:lpstr>
      <vt:lpstr>LIBR0090</vt:lpstr>
      <vt:lpstr>LIBR0091</vt:lpstr>
      <vt:lpstr>LIBR0092</vt:lpstr>
      <vt:lpstr>LIBR0093</vt:lpstr>
      <vt:lpstr>LIBR0094</vt:lpstr>
      <vt:lpstr>LIBR0095</vt:lpstr>
      <vt:lpstr>LIBR0096</vt:lpstr>
      <vt:lpstr>LIBR0097</vt:lpstr>
      <vt:lpstr>LIBR0098</vt:lpstr>
      <vt:lpstr>LIBR0099</vt:lpstr>
      <vt:lpstr>LIBR0100</vt:lpstr>
      <vt:lpstr>LIBR0101</vt:lpstr>
      <vt:lpstr>LIBR0102</vt:lpstr>
      <vt:lpstr>LIBR0103</vt:lpstr>
      <vt:lpstr>LIBR0104</vt:lpstr>
      <vt:lpstr>LIBR0105</vt:lpstr>
      <vt:lpstr>LIBR0106</vt:lpstr>
      <vt:lpstr>LIBR0107</vt:lpstr>
      <vt:lpstr>LIBR0108</vt:lpstr>
      <vt:lpstr>LIBR0110</vt:lpstr>
      <vt:lpstr>LIBR0111</vt:lpstr>
      <vt:lpstr>LIBR0118</vt:lpstr>
      <vt:lpstr>LIBR0119</vt:lpstr>
      <vt:lpstr>LIBR0120</vt:lpstr>
      <vt:lpstr>LIBR0121</vt:lpstr>
      <vt:lpstr>LIBR0122</vt:lpstr>
      <vt:lpstr>LIBR0123</vt:lpstr>
      <vt:lpstr>LIBR0124</vt:lpstr>
      <vt:lpstr>LIBR0125</vt:lpstr>
      <vt:lpstr>LIBR0126</vt:lpstr>
      <vt:lpstr>LIBR0127</vt:lpstr>
      <vt:lpstr>LIBR0128</vt:lpstr>
      <vt:lpstr>LIBR0129</vt:lpstr>
      <vt:lpstr>LIBR0130</vt:lpstr>
      <vt:lpstr>LIBR0131</vt:lpstr>
      <vt:lpstr>LIBR0132</vt:lpstr>
      <vt:lpstr>LIBR0133</vt:lpstr>
      <vt:lpstr>LIBR0134</vt:lpstr>
      <vt:lpstr>LIBR0135</vt:lpstr>
      <vt:lpstr>LIBR0136</vt:lpstr>
      <vt:lpstr>LIBR0137</vt:lpstr>
      <vt:lpstr>LIBR0138</vt:lpstr>
      <vt:lpstr>LIBR0139</vt:lpstr>
      <vt:lpstr>LIBR0140</vt:lpstr>
      <vt:lpstr>LIBR0141</vt:lpstr>
      <vt:lpstr>LIBR0142</vt:lpstr>
      <vt:lpstr>LIBR0143</vt:lpstr>
      <vt:lpstr>LIBR0144</vt:lpstr>
      <vt:lpstr>LIBR0145</vt:lpstr>
      <vt:lpstr>LIBR0146</vt:lpstr>
      <vt:lpstr>LIBR0147</vt:lpstr>
      <vt:lpstr>LIBR0148</vt:lpstr>
      <vt:lpstr>LIBR0150</vt:lpstr>
      <vt:lpstr>LIBR0151</vt:lpstr>
      <vt:lpstr>LIBR0152</vt:lpstr>
      <vt:lpstr>LIBR0153</vt:lpstr>
      <vt:lpstr>LIBR0154</vt:lpstr>
      <vt:lpstr>LIBR0170</vt:lpstr>
      <vt:lpstr>LIBR0171</vt:lpstr>
      <vt:lpstr>LIBR0173</vt:lpstr>
      <vt:lpstr>LIBR0174</vt:lpstr>
      <vt:lpstr>LIBR0175</vt:lpstr>
      <vt:lpstr>LIBR0176</vt:lpstr>
      <vt:lpstr>LIBR0177</vt:lpstr>
      <vt:lpstr>LIBR0179</vt:lpstr>
      <vt:lpstr>LIBR0180</vt:lpstr>
      <vt:lpstr>LIBR0181</vt:lpstr>
      <vt:lpstr>LIBR0182</vt:lpstr>
      <vt:lpstr>LIBR0183</vt:lpstr>
      <vt:lpstr>LIBR0184</vt:lpstr>
      <vt:lpstr>LIBR0185</vt:lpstr>
      <vt:lpstr>LIBR0186</vt:lpstr>
      <vt:lpstr>LIBR0187</vt:lpstr>
      <vt:lpstr>LIBR0188</vt:lpstr>
      <vt:lpstr>LIBR0189</vt:lpstr>
      <vt:lpstr>LIBR0190</vt:lpstr>
      <vt:lpstr>LIBR0191</vt:lpstr>
      <vt:lpstr>LIBR0192</vt:lpstr>
      <vt:lpstr>LIBR0193</vt:lpstr>
      <vt:lpstr>LIBR0194</vt:lpstr>
      <vt:lpstr>LIBR0195</vt:lpstr>
      <vt:lpstr>LIBR0196</vt:lpstr>
      <vt:lpstr>LIBR0197</vt:lpstr>
      <vt:lpstr>LIBR0198</vt:lpstr>
      <vt:lpstr>LIBR0199</vt:lpstr>
      <vt:lpstr>LIBR0200</vt:lpstr>
      <vt:lpstr>LIBR0201</vt:lpstr>
      <vt:lpstr>LIBR0202</vt:lpstr>
      <vt:lpstr>LIBR0203</vt:lpstr>
      <vt:lpstr>LIBR0204</vt:lpstr>
      <vt:lpstr>LIBR0205</vt:lpstr>
      <vt:lpstr>LIBR0206</vt:lpstr>
      <vt:lpstr>LIBR0207</vt:lpstr>
      <vt:lpstr>LIBR0208</vt:lpstr>
      <vt:lpstr>LIBR0209</vt:lpstr>
      <vt:lpstr>LIBR0210</vt:lpstr>
      <vt:lpstr>LIBR0211</vt:lpstr>
      <vt:lpstr>LIBR0212</vt:lpstr>
      <vt:lpstr>LIBR0213</vt:lpstr>
      <vt:lpstr>LIBR0214</vt:lpstr>
      <vt:lpstr>LIBR0215</vt:lpstr>
      <vt:lpstr>LIBR0216</vt:lpstr>
      <vt:lpstr>LIBR0217</vt:lpstr>
      <vt:lpstr>LIBR0221</vt:lpstr>
      <vt:lpstr>LIBR0222</vt:lpstr>
      <vt:lpstr>LIBR0223</vt:lpstr>
      <vt:lpstr>LIBR0224</vt:lpstr>
      <vt:lpstr>LIBR0225</vt:lpstr>
      <vt:lpstr>LIBR0226</vt:lpstr>
      <vt:lpstr>LIBR0227</vt:lpstr>
      <vt:lpstr>LIBR0228</vt:lpstr>
      <vt:lpstr>LIBR0229</vt:lpstr>
      <vt:lpstr>LIBR0230</vt:lpstr>
      <vt:lpstr>LIBR0231</vt:lpstr>
      <vt:lpstr>LIBR0234</vt:lpstr>
      <vt:lpstr>LIBR0235</vt:lpstr>
      <vt:lpstr>LIBR0236</vt:lpstr>
      <vt:lpstr>LIBR0237</vt:lpstr>
      <vt:lpstr>LIBR0238</vt:lpstr>
      <vt:lpstr>LIBR0239</vt:lpstr>
      <vt:lpstr>LIBR0240</vt:lpstr>
      <vt:lpstr>LIBR0241</vt:lpstr>
      <vt:lpstr>LIBR0242</vt:lpstr>
      <vt:lpstr>LIBR0243</vt:lpstr>
      <vt:lpstr>LIBR0244</vt:lpstr>
      <vt:lpstr>LIBR0245</vt:lpstr>
      <vt:lpstr>LIBR0246</vt:lpstr>
      <vt:lpstr>LIBR0248</vt:lpstr>
      <vt:lpstr>LIBR0249</vt:lpstr>
      <vt:lpstr>LIBR0250</vt:lpstr>
      <vt:lpstr>LIBR0251</vt:lpstr>
      <vt:lpstr>LIBR0252</vt:lpstr>
      <vt:lpstr>LIBR0253</vt:lpstr>
      <vt:lpstr>LIBR0254</vt:lpstr>
      <vt:lpstr>LIBR0255</vt:lpstr>
      <vt:lpstr>LIBR0256</vt:lpstr>
      <vt:lpstr>LIBR0257</vt:lpstr>
      <vt:lpstr>Name1</vt:lpstr>
      <vt:lpstr>Name2</vt:lpstr>
      <vt:lpstr>Note1</vt:lpstr>
      <vt:lpstr>Note10</vt:lpstr>
      <vt:lpstr>Note11</vt:lpstr>
      <vt:lpstr>Note12</vt:lpstr>
      <vt:lpstr>Note13</vt:lpstr>
      <vt:lpstr>Note14</vt:lpstr>
      <vt:lpstr>Note2</vt:lpstr>
      <vt:lpstr>Note3</vt:lpstr>
      <vt:lpstr>Note4</vt:lpstr>
      <vt:lpstr>Note5</vt:lpstr>
      <vt:lpstr>Note6</vt:lpstr>
      <vt:lpstr>Note7</vt:lpstr>
      <vt:lpstr>Note8</vt:lpstr>
      <vt:lpstr>Note9</vt:lpstr>
      <vt:lpstr>Other_Email</vt:lpstr>
      <vt:lpstr>Contacts!Print_Area</vt:lpstr>
      <vt:lpstr>'Guidance Notes'!Print_Area</vt:lpstr>
      <vt:lpstr>Questionnaire!Print_Area</vt:lpstr>
      <vt:lpstr>'Service Points'!Print_Area</vt:lpstr>
      <vt:lpstr>'Service Points'!Print_Titles</vt:lpstr>
      <vt:lpstr>Telephone1</vt:lpstr>
      <vt:lpstr>Telephone2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2025-11-25T15:43:15Z</dcterms:created>
  <dcterms:modified xsi:type="dcterms:W3CDTF">2025-11-25T15:44:02Z</dcterms:modified>
  <cp:category/>
  <cp:contentStatus/>
</cp:coreProperties>
</file>