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8" documentId="8_{AEAD9F89-86B0-49B7-8697-CC361AE2BFD2}" xr6:coauthVersionLast="47" xr6:coauthVersionMax="47" xr10:uidLastSave="{571597F1-D956-4FB1-A92D-1764F807CD36}"/>
  <bookViews>
    <workbookView xWindow="-110" yWindow="-110" windowWidth="19420" windowHeight="11620" tabRatio="676" activeTab="1" xr2:uid="{CE29EB42-BA60-43EF-B4C3-E32751CDABA7}"/>
  </bookViews>
  <sheets>
    <sheet name="Urban Red" sheetId="1" r:id="rId1"/>
    <sheet name="Urban Amber 2" sheetId="4" r:id="rId2"/>
  </sheets>
  <definedNames>
    <definedName name="_xlnm._FilterDatabase" localSheetId="1" hidden="1">'Urban Amber 2'!$A$1:$AR$4</definedName>
    <definedName name="_xlnm._FilterDatabase" localSheetId="0" hidden="1">'Urban Red'!$A$1:$AR$4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4" l="1"/>
  <c r="Y2" i="4"/>
  <c r="W3" i="4"/>
  <c r="W4" i="4"/>
  <c r="T3" i="1"/>
  <c r="U3" i="1"/>
  <c r="AN2" i="1"/>
  <c r="AN3" i="1"/>
  <c r="AN4" i="1"/>
  <c r="AN2" i="4"/>
  <c r="AN3" i="4"/>
  <c r="AN4" i="4"/>
  <c r="V2" i="4"/>
  <c r="W2" i="4" s="1"/>
  <c r="V2" i="1"/>
  <c r="W2" i="1"/>
  <c r="V3" i="1"/>
  <c r="W3" i="1" s="1"/>
  <c r="AE3" i="1" s="1"/>
  <c r="V4" i="1"/>
  <c r="W4" i="1" s="1"/>
  <c r="T2" i="1"/>
  <c r="U2" i="1" s="1"/>
  <c r="AE2" i="1" s="1"/>
  <c r="T4" i="1"/>
  <c r="U4" i="1" s="1"/>
  <c r="X3" i="4"/>
  <c r="Y3" i="4"/>
  <c r="X4" i="4"/>
  <c r="Y4" i="4" s="1"/>
  <c r="AE4" i="4" s="1"/>
  <c r="AA2" i="4"/>
  <c r="AB2" i="4" s="1"/>
  <c r="AA3" i="4"/>
  <c r="AB3" i="4" s="1"/>
  <c r="AE3" i="4" l="1"/>
  <c r="AJ3" i="4" s="1"/>
  <c r="AJ3" i="1"/>
  <c r="AJ4" i="4"/>
  <c r="AE4" i="1"/>
  <c r="AJ4" i="1" s="1"/>
  <c r="AJ2" i="1"/>
  <c r="AE2" i="4"/>
  <c r="AJ2" i="4" s="1"/>
</calcChain>
</file>

<file path=xl/sharedStrings.xml><?xml version="1.0" encoding="utf-8"?>
<sst xmlns="http://schemas.openxmlformats.org/spreadsheetml/2006/main" count="103" uniqueCount="48">
  <si>
    <t>SECTION CODE</t>
  </si>
  <si>
    <t>STREET</t>
  </si>
  <si>
    <t>SECTION</t>
  </si>
  <si>
    <t>CLASS</t>
  </si>
  <si>
    <t>TREATMENT</t>
  </si>
  <si>
    <t>AVERAGE TEXTURE</t>
  </si>
  <si>
    <t>3m PROFILE AVERAGE</t>
  </si>
  <si>
    <t>AVERAGE RUTTING</t>
  </si>
  <si>
    <t>CRACKING AREA</t>
  </si>
  <si>
    <t>CRACKING &gt;4%</t>
  </si>
  <si>
    <t>CRACKING &gt;1%</t>
  </si>
  <si>
    <t>RUT DEPTH%&gt;10</t>
  </si>
  <si>
    <t>RUT DEPTH%&gt;8</t>
  </si>
  <si>
    <t>LPV%&gt;10</t>
  </si>
  <si>
    <t>LPV%&gt;8</t>
  </si>
  <si>
    <t>RUTTING SCORE1</t>
  </si>
  <si>
    <t>RUTTING WEIGHTING</t>
  </si>
  <si>
    <t>PROFILE SCORE1</t>
  </si>
  <si>
    <t>PROFILE WEIGHTING</t>
  </si>
  <si>
    <t>CRACKING SCORE1</t>
  </si>
  <si>
    <t>CRACKING WEIGHTING</t>
  </si>
  <si>
    <t>CRACKING AVERAGE</t>
  </si>
  <si>
    <t>TEXTURE SCORE1</t>
  </si>
  <si>
    <t>TEXTURE WEIGHTING</t>
  </si>
  <si>
    <t>HIGH TEXTURE SCORE</t>
  </si>
  <si>
    <t>HIGH TEXTURE WEIGHTING</t>
  </si>
  <si>
    <t>SCORE</t>
  </si>
  <si>
    <t>LENGTH</t>
  </si>
  <si>
    <t>WIDTH</t>
  </si>
  <si>
    <t>AREA</t>
  </si>
  <si>
    <t>% Red</t>
  </si>
  <si>
    <t>% Amber 1</t>
  </si>
  <si>
    <t>% Amber 2</t>
  </si>
  <si>
    <t>URBAN/RURAL</t>
  </si>
  <si>
    <t>CLASSIFICATION</t>
  </si>
  <si>
    <t>ROAD TYPE</t>
  </si>
  <si>
    <t>BUS USE</t>
  </si>
  <si>
    <t>CYCLE USE</t>
  </si>
  <si>
    <t>FACTORED SCORE</t>
  </si>
  <si>
    <t>U</t>
  </si>
  <si>
    <t>Red</t>
  </si>
  <si>
    <t>Amber 2</t>
  </si>
  <si>
    <t>Unclassified</t>
  </si>
  <si>
    <t>Ladywell Avenue</t>
  </si>
  <si>
    <t>Meadowhouse Road</t>
  </si>
  <si>
    <t>Lampacre Road</t>
  </si>
  <si>
    <t>Corstorphine Hill Crescent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</si>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</sst>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0" fontId="1" fillId="2" borderId="0" xfId="0" applyFont="1" applyFill="1"/>
    <xf numFmtId="2" fontId="1" fillId="2" borderId="0" xfId="0" applyNumberFormat="1" applyFont="1" applyFill="1"/>
    <xf numFmtId="2" fontId="0" fillId="0" borderId="0" xfId="0" applyNumberFormat="1"/>
    <xf numFmtId="2" fontId="1" fillId="2" borderId="0" xfId="0" applyNumberFormat="1" applyFont="1" applyFill="1" applyAlignment="1">
      <alignment horizontal="center"/>
    </xf>
    <xf numFmtId="10" fontId="1" fillId="2" borderId="0" xfId="0" applyNumberFormat="1" applyFont="1" applyFill="1"/>
    <xf numFmtId="10" fontId="0" fillId="0" borderId="0" xfId="0" applyNumberFormat="1"/>
    <xf numFmtId="1" fontId="1" fillId="2" borderId="0" xfId="0" applyNumberFormat="1" applyFont="1" applyFill="1"/>
    <xf numFmtId="164" fontId="1" fillId="2" borderId="0" xfId="0" applyNumberFormat="1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906D-17EC-47BC-A504-D224A602D128}">
  <dimension ref="A1:AR9"/>
  <sheetViews>
    <sheetView workbookViewId="0">
      <pane ySplit="1" topLeftCell="A2" activePane="bottomLeft" state="frozen"/>
      <selection pane="bottomLeft" activeCell="AR13" sqref="AR13"/>
    </sheetView>
  </sheetViews>
  <sheetFormatPr defaultRowHeight="14.5" x14ac:dyDescent="0.35"/>
  <cols>
    <col min="1" max="1" width="16.36328125" style="1" bestFit="1" customWidth="1"/>
    <col min="2" max="2" width="46.90625" bestFit="1" customWidth="1"/>
    <col min="3" max="3" width="10.36328125" bestFit="1" customWidth="1"/>
    <col min="4" max="4" width="11.6328125" bestFit="1" customWidth="1"/>
    <col min="5" max="5" width="15.453125" bestFit="1" customWidth="1"/>
    <col min="6" max="6" width="15.453125" customWidth="1"/>
    <col min="7" max="7" width="14" bestFit="1" customWidth="1"/>
    <col min="9" max="9" width="16.6328125" style="4" bestFit="1" customWidth="1"/>
    <col min="10" max="10" width="19.36328125" style="4" bestFit="1" customWidth="1"/>
    <col min="11" max="11" width="16.6328125" style="4" bestFit="1" customWidth="1"/>
    <col min="12" max="12" width="17.90625" style="4" bestFit="1" customWidth="1"/>
    <col min="13" max="14" width="16.6328125" style="7" bestFit="1" customWidth="1"/>
    <col min="15" max="15" width="17.08984375" style="7" bestFit="1" customWidth="1"/>
    <col min="16" max="16" width="16.08984375" style="7" bestFit="1" customWidth="1"/>
    <col min="17" max="17" width="10.54296875" style="7" bestFit="1" customWidth="1"/>
    <col min="18" max="18" width="9.54296875" style="7" bestFit="1" customWidth="1"/>
    <col min="19" max="19" width="24.08984375" bestFit="1" customWidth="1"/>
    <col min="20" max="20" width="15.36328125" style="4" bestFit="1" customWidth="1"/>
    <col min="21" max="21" width="18.90625" style="4" bestFit="1" customWidth="1"/>
    <col min="22" max="22" width="14.54296875" style="4" bestFit="1" customWidth="1"/>
    <col min="23" max="23" width="18.36328125" style="4" bestFit="1" customWidth="1"/>
    <col min="24" max="24" width="16.453125" style="7" bestFit="1" customWidth="1"/>
    <col min="25" max="25" width="20.08984375" style="4" bestFit="1" customWidth="1"/>
    <col min="26" max="26" width="18" bestFit="1" customWidth="1"/>
    <col min="27" max="27" width="15.36328125" bestFit="1" customWidth="1"/>
    <col min="28" max="28" width="18.90625" bestFit="1" customWidth="1"/>
    <col min="29" max="29" width="19.08984375" bestFit="1" customWidth="1"/>
    <col min="30" max="30" width="23.90625" bestFit="1" customWidth="1"/>
    <col min="31" max="31" width="9.08984375" style="4"/>
    <col min="36" max="36" width="18" style="4" bestFit="1" customWidth="1"/>
    <col min="42" max="42" width="8.6328125" style="7"/>
    <col min="43" max="44" width="12.6328125" style="7" bestFit="1" customWidth="1"/>
    <col min="46" max="46" width="45" bestFit="1" customWidth="1"/>
  </cols>
  <sheetData>
    <row r="1" spans="1:44" s="2" customFormat="1" x14ac:dyDescent="0.35">
      <c r="A1" s="8" t="s">
        <v>0</v>
      </c>
      <c r="B1" s="2" t="s">
        <v>1</v>
      </c>
      <c r="C1" s="2" t="s">
        <v>2</v>
      </c>
      <c r="D1" s="2" t="s">
        <v>3</v>
      </c>
      <c r="E1" s="2" t="s">
        <v>33</v>
      </c>
      <c r="F1" s="2" t="s">
        <v>34</v>
      </c>
      <c r="G1" s="2" t="s">
        <v>4</v>
      </c>
      <c r="I1" s="3" t="s">
        <v>5</v>
      </c>
      <c r="J1" s="3" t="s">
        <v>6</v>
      </c>
      <c r="K1" s="5" t="s">
        <v>7</v>
      </c>
      <c r="L1" s="3" t="s">
        <v>8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6" t="s">
        <v>19</v>
      </c>
      <c r="Y1" s="3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3" t="s">
        <v>26</v>
      </c>
      <c r="AG1" s="2" t="s">
        <v>35</v>
      </c>
      <c r="AH1" s="2" t="s">
        <v>36</v>
      </c>
      <c r="AI1" s="2" t="s">
        <v>37</v>
      </c>
      <c r="AJ1" s="3" t="s">
        <v>38</v>
      </c>
      <c r="AL1" s="2" t="s">
        <v>27</v>
      </c>
      <c r="AM1" s="2" t="s">
        <v>28</v>
      </c>
      <c r="AN1" s="2" t="s">
        <v>29</v>
      </c>
      <c r="AP1" s="6" t="s">
        <v>30</v>
      </c>
      <c r="AQ1" s="6" t="s">
        <v>31</v>
      </c>
      <c r="AR1" s="6" t="s">
        <v>32</v>
      </c>
    </row>
    <row r="2" spans="1:44" x14ac:dyDescent="0.35">
      <c r="A2" s="1">
        <v>319668671887</v>
      </c>
      <c r="B2" t="s">
        <v>43</v>
      </c>
      <c r="D2" t="s">
        <v>42</v>
      </c>
      <c r="E2" t="s">
        <v>39</v>
      </c>
      <c r="F2" t="s">
        <v>40</v>
      </c>
      <c r="O2" s="7">
        <v>0.17777777777777778</v>
      </c>
      <c r="Q2" s="7">
        <v>8.8888888888888892E-2</v>
      </c>
      <c r="T2" s="4">
        <f t="shared" ref="T2" si="0">O2</f>
        <v>0.17777777777777778</v>
      </c>
      <c r="U2" s="4">
        <f t="shared" ref="U2" si="1">T2*0.55</f>
        <v>9.7777777777777783E-2</v>
      </c>
      <c r="V2" s="4">
        <f t="shared" ref="V2" si="2">Q2</f>
        <v>8.8888888888888892E-2</v>
      </c>
      <c r="W2" s="4">
        <f t="shared" ref="W2" si="3">V2*0.25</f>
        <v>2.2222222222222223E-2</v>
      </c>
      <c r="AE2" s="4">
        <f t="shared" ref="AE2" si="4">U2+W2</f>
        <v>0.12000000000000001</v>
      </c>
      <c r="AG2">
        <v>1</v>
      </c>
      <c r="AH2">
        <v>1</v>
      </c>
      <c r="AI2">
        <v>1.05</v>
      </c>
      <c r="AJ2" s="4">
        <f t="shared" ref="AJ2:AJ3" si="5">AE2*AG2*AH2*AI2</f>
        <v>0.12600000000000003</v>
      </c>
      <c r="AL2">
        <v>45</v>
      </c>
      <c r="AM2">
        <v>7.1</v>
      </c>
      <c r="AN2">
        <f t="shared" ref="AN2:AN3" si="6">AL2*AM2</f>
        <v>319.5</v>
      </c>
      <c r="AP2" s="7">
        <v>0.17777777777777778</v>
      </c>
    </row>
    <row r="3" spans="1:44" x14ac:dyDescent="0.35">
      <c r="A3" s="1">
        <v>320371672519</v>
      </c>
      <c r="B3" t="s">
        <v>45</v>
      </c>
      <c r="D3" t="s">
        <v>42</v>
      </c>
      <c r="E3" t="s">
        <v>39</v>
      </c>
      <c r="F3" t="s">
        <v>40</v>
      </c>
      <c r="Q3" s="7">
        <v>0.47619047619047616</v>
      </c>
      <c r="T3" s="4">
        <f t="shared" ref="T3" si="7">O3</f>
        <v>0</v>
      </c>
      <c r="U3" s="4">
        <f t="shared" ref="U3" si="8">T3*0.55</f>
        <v>0</v>
      </c>
      <c r="V3" s="4">
        <f t="shared" ref="V3" si="9">Q3</f>
        <v>0.47619047619047616</v>
      </c>
      <c r="W3" s="4">
        <f t="shared" ref="W3" si="10">V3*0.25</f>
        <v>0.11904761904761904</v>
      </c>
      <c r="AE3" s="4">
        <f t="shared" ref="AE3" si="11">U3+W3</f>
        <v>0.11904761904761904</v>
      </c>
      <c r="AG3">
        <v>1</v>
      </c>
      <c r="AH3">
        <v>1</v>
      </c>
      <c r="AI3">
        <v>1</v>
      </c>
      <c r="AJ3" s="4">
        <f t="shared" si="5"/>
        <v>0.11904761904761904</v>
      </c>
      <c r="AL3">
        <v>84</v>
      </c>
      <c r="AM3">
        <v>7.1</v>
      </c>
      <c r="AN3">
        <f t="shared" si="6"/>
        <v>596.4</v>
      </c>
      <c r="AP3" s="7">
        <v>0.7142857142857143</v>
      </c>
    </row>
    <row r="4" spans="1:44" x14ac:dyDescent="0.35">
      <c r="A4" s="1">
        <v>320535672554</v>
      </c>
      <c r="B4" t="s">
        <v>44</v>
      </c>
      <c r="D4" t="s">
        <v>42</v>
      </c>
      <c r="E4" t="s">
        <v>39</v>
      </c>
      <c r="F4" t="s">
        <v>40</v>
      </c>
      <c r="O4" s="7">
        <v>0.21680216802168023</v>
      </c>
      <c r="Q4" s="7">
        <v>0.49322493224932251</v>
      </c>
      <c r="T4" s="4">
        <f t="shared" ref="T4" si="12">O4</f>
        <v>0.21680216802168023</v>
      </c>
      <c r="U4" s="4">
        <f t="shared" ref="U4" si="13">T4*0.55</f>
        <v>0.11924119241192413</v>
      </c>
      <c r="V4" s="4">
        <f t="shared" ref="V4" si="14">Q4</f>
        <v>0.49322493224932251</v>
      </c>
      <c r="W4" s="4">
        <f t="shared" ref="W4" si="15">V4*0.25</f>
        <v>0.12330623306233063</v>
      </c>
      <c r="AE4" s="4">
        <f t="shared" ref="AE4" si="16">U4+W4</f>
        <v>0.24254742547425476</v>
      </c>
      <c r="AG4">
        <v>0</v>
      </c>
      <c r="AH4">
        <v>0</v>
      </c>
      <c r="AI4">
        <v>0</v>
      </c>
      <c r="AJ4" s="4">
        <f t="shared" ref="AJ4" si="17">AE4*AG4*AH4*AI4</f>
        <v>0</v>
      </c>
      <c r="AL4">
        <v>369</v>
      </c>
      <c r="AM4">
        <v>7.1</v>
      </c>
      <c r="AN4">
        <f t="shared" ref="AN4" si="18">AL4*AM4</f>
        <v>2619.9</v>
      </c>
      <c r="AP4" s="7">
        <v>0.18699186991869918</v>
      </c>
    </row>
    <row r="9" spans="1:44" x14ac:dyDescent="0.35">
      <c r="B9" t="s">
        <v>47</v>
      </c>
    </row>
  </sheetData>
  <autoFilter ref="A1:AR4" xr:uid="{2380372D-DE21-46C7-9F37-D042232803B7}"/>
  <sortState xmlns:xlrd2="http://schemas.microsoft.com/office/spreadsheetml/2017/richdata2" ref="A2:AR4">
    <sortCondition descending="1" ref="AJ2:AJ4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E664-2501-40F0-9E4F-767AB50607F0}">
  <dimension ref="A1:AR4"/>
  <sheetViews>
    <sheetView tabSelected="1" workbookViewId="0">
      <pane ySplit="1" topLeftCell="A2" activePane="bottomLeft" state="frozen"/>
      <selection pane="bottomLeft" activeCell="B15" sqref="B15"/>
    </sheetView>
  </sheetViews>
  <sheetFormatPr defaultRowHeight="14.5" x14ac:dyDescent="0.35"/>
  <cols>
    <col min="1" max="1" width="16.36328125" style="1" bestFit="1" customWidth="1"/>
    <col min="2" max="2" width="46.90625" bestFit="1" customWidth="1"/>
    <col min="3" max="3" width="10.36328125" customWidth="1"/>
    <col min="4" max="4" width="11.6328125" customWidth="1"/>
    <col min="5" max="6" width="15.453125" customWidth="1"/>
    <col min="7" max="7" width="17.54296875" customWidth="1"/>
    <col min="8" max="8" width="9.08984375" customWidth="1"/>
    <col min="9" max="9" width="16.6328125" style="4" customWidth="1"/>
    <col min="10" max="10" width="19.36328125" style="4" customWidth="1"/>
    <col min="11" max="11" width="16.6328125" style="4" customWidth="1"/>
    <col min="12" max="12" width="17.90625" style="4" customWidth="1"/>
    <col min="13" max="14" width="16.6328125" style="7" customWidth="1"/>
    <col min="15" max="15" width="17.08984375" style="7" customWidth="1"/>
    <col min="16" max="16" width="16.08984375" style="7" customWidth="1"/>
    <col min="17" max="17" width="10.54296875" style="7" customWidth="1"/>
    <col min="18" max="18" width="9.54296875" style="7" customWidth="1"/>
    <col min="19" max="19" width="24.08984375" customWidth="1"/>
    <col min="20" max="20" width="15.36328125" style="4" customWidth="1"/>
    <col min="21" max="21" width="18.90625" customWidth="1"/>
    <col min="22" max="22" width="14.54296875" style="4" customWidth="1"/>
    <col min="23" max="23" width="18.36328125" style="10" customWidth="1"/>
    <col min="24" max="24" width="16.453125" style="7" customWidth="1"/>
    <col min="25" max="25" width="20.08984375" style="4" customWidth="1"/>
    <col min="26" max="26" width="18" customWidth="1"/>
    <col min="27" max="27" width="15.36328125" style="4" customWidth="1"/>
    <col min="28" max="28" width="18.90625" style="4" customWidth="1"/>
    <col min="29" max="29" width="19.08984375" customWidth="1"/>
    <col min="30" max="30" width="23.90625" style="4" customWidth="1"/>
    <col min="31" max="31" width="9.08984375" style="4" customWidth="1"/>
    <col min="32" max="35" width="9.08984375" customWidth="1"/>
    <col min="36" max="36" width="18" style="4" customWidth="1"/>
    <col min="37" max="41" width="9.08984375" customWidth="1"/>
    <col min="42" max="42" width="9.08984375" style="7" customWidth="1"/>
    <col min="43" max="44" width="9.90625" style="7" customWidth="1"/>
    <col min="46" max="46" width="25.08984375" bestFit="1" customWidth="1"/>
  </cols>
  <sheetData>
    <row r="1" spans="1:44" s="2" customFormat="1" x14ac:dyDescent="0.35">
      <c r="A1" s="8" t="s">
        <v>0</v>
      </c>
      <c r="B1" s="2" t="s">
        <v>1</v>
      </c>
      <c r="C1" s="2" t="s">
        <v>2</v>
      </c>
      <c r="D1" s="2" t="s">
        <v>3</v>
      </c>
      <c r="E1" s="2" t="s">
        <v>33</v>
      </c>
      <c r="F1" s="2" t="s">
        <v>34</v>
      </c>
      <c r="G1" s="2" t="s">
        <v>4</v>
      </c>
      <c r="I1" s="3" t="s">
        <v>5</v>
      </c>
      <c r="J1" s="3" t="s">
        <v>6</v>
      </c>
      <c r="K1" s="5" t="s">
        <v>7</v>
      </c>
      <c r="L1" s="3" t="s">
        <v>8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  <c r="T1" s="3" t="s">
        <v>15</v>
      </c>
      <c r="U1" s="2" t="s">
        <v>16</v>
      </c>
      <c r="V1" s="3" t="s">
        <v>17</v>
      </c>
      <c r="W1" s="9" t="s">
        <v>18</v>
      </c>
      <c r="X1" s="6" t="s">
        <v>19</v>
      </c>
      <c r="Y1" s="3" t="s">
        <v>20</v>
      </c>
      <c r="Z1" s="2" t="s">
        <v>21</v>
      </c>
      <c r="AA1" s="3" t="s">
        <v>22</v>
      </c>
      <c r="AB1" s="3" t="s">
        <v>23</v>
      </c>
      <c r="AC1" s="2" t="s">
        <v>24</v>
      </c>
      <c r="AD1" s="3" t="s">
        <v>25</v>
      </c>
      <c r="AE1" s="3" t="s">
        <v>26</v>
      </c>
      <c r="AG1" s="2" t="s">
        <v>35</v>
      </c>
      <c r="AH1" s="2" t="s">
        <v>36</v>
      </c>
      <c r="AI1" s="2" t="s">
        <v>37</v>
      </c>
      <c r="AJ1" s="3" t="s">
        <v>38</v>
      </c>
      <c r="AL1" s="2" t="s">
        <v>27</v>
      </c>
      <c r="AM1" s="2" t="s">
        <v>28</v>
      </c>
      <c r="AN1" s="2" t="s">
        <v>29</v>
      </c>
      <c r="AP1" s="6" t="s">
        <v>30</v>
      </c>
      <c r="AQ1" s="6" t="s">
        <v>31</v>
      </c>
      <c r="AR1" s="6" t="s">
        <v>32</v>
      </c>
    </row>
    <row r="2" spans="1:44" x14ac:dyDescent="0.35">
      <c r="A2" s="1">
        <v>320243673400</v>
      </c>
      <c r="B2" t="s">
        <v>46</v>
      </c>
      <c r="D2" t="s">
        <v>42</v>
      </c>
      <c r="E2" t="s">
        <v>39</v>
      </c>
      <c r="F2" t="s">
        <v>41</v>
      </c>
      <c r="I2" s="4">
        <v>0.69166666666666676</v>
      </c>
      <c r="P2" s="7">
        <v>7.407407407407407E-2</v>
      </c>
      <c r="R2" s="7">
        <v>0.44444444444444442</v>
      </c>
      <c r="V2" s="4">
        <f>(4*R2)/100</f>
        <v>1.7777777777777778E-2</v>
      </c>
      <c r="W2" s="10">
        <f t="shared" ref="W2" si="0">V2*0.1</f>
        <v>1.7777777777777779E-3</v>
      </c>
      <c r="X2" s="7">
        <f t="shared" ref="X2" si="1">N2</f>
        <v>0</v>
      </c>
      <c r="Y2" s="4">
        <f>X2*0.5</f>
        <v>0</v>
      </c>
      <c r="AA2" s="4">
        <f t="shared" ref="AA2" si="2">(166.67*I2)+133.33</f>
        <v>248.61008333333336</v>
      </c>
      <c r="AB2" s="4">
        <f t="shared" ref="AB2" si="3">AA2*0.5</f>
        <v>124.30504166666668</v>
      </c>
      <c r="AE2" s="4">
        <f t="shared" ref="AE2" si="4">AB2+Y2+W2</f>
        <v>124.30681944444446</v>
      </c>
      <c r="AG2">
        <v>1</v>
      </c>
      <c r="AH2">
        <v>1</v>
      </c>
      <c r="AI2">
        <v>1</v>
      </c>
      <c r="AJ2" s="4">
        <f t="shared" ref="AJ2" si="5">AE2*AG2*AH2*AI2</f>
        <v>124.30681944444446</v>
      </c>
      <c r="AL2">
        <v>54</v>
      </c>
      <c r="AM2">
        <v>7.1</v>
      </c>
      <c r="AN2">
        <f t="shared" ref="AN2" si="6">AL2*AM2</f>
        <v>383.4</v>
      </c>
      <c r="AR2" s="7">
        <v>0.37037037037037035</v>
      </c>
    </row>
    <row r="3" spans="1:44" x14ac:dyDescent="0.35">
      <c r="A3" s="1">
        <v>320475672319</v>
      </c>
      <c r="B3" t="s">
        <v>45</v>
      </c>
      <c r="D3" t="s">
        <v>42</v>
      </c>
      <c r="E3" t="s">
        <v>39</v>
      </c>
      <c r="F3" t="s">
        <v>41</v>
      </c>
      <c r="I3" s="4">
        <v>0.57333333333333336</v>
      </c>
      <c r="N3" s="7">
        <v>0.22727272727272727</v>
      </c>
      <c r="V3" s="4">
        <v>0</v>
      </c>
      <c r="W3" s="10">
        <f>V3*0.1</f>
        <v>0</v>
      </c>
      <c r="X3" s="7">
        <f>N3</f>
        <v>0.22727272727272727</v>
      </c>
      <c r="Y3" s="4">
        <f>X3*0.2</f>
        <v>4.5454545454545456E-2</v>
      </c>
      <c r="AA3" s="4">
        <f>(166.67*I3)+133.33</f>
        <v>228.88746666666668</v>
      </c>
      <c r="AB3" s="4">
        <f>AA3*0.5</f>
        <v>114.44373333333334</v>
      </c>
      <c r="AE3" s="4">
        <f>AB3+Y3+W3</f>
        <v>114.48918787878789</v>
      </c>
      <c r="AG3">
        <v>1</v>
      </c>
      <c r="AH3">
        <v>1</v>
      </c>
      <c r="AI3">
        <v>1</v>
      </c>
      <c r="AJ3" s="4">
        <f>AE3*AG3*AH3*AI3</f>
        <v>114.48918787878789</v>
      </c>
      <c r="AL3">
        <v>44</v>
      </c>
      <c r="AM3">
        <v>7.1</v>
      </c>
      <c r="AN3">
        <f>AL3*AM3</f>
        <v>312.39999999999998</v>
      </c>
      <c r="AR3" s="7">
        <v>0.22727272727272727</v>
      </c>
    </row>
    <row r="4" spans="1:44" x14ac:dyDescent="0.35">
      <c r="A4" s="1">
        <v>320199672529</v>
      </c>
      <c r="B4" t="s">
        <v>44</v>
      </c>
      <c r="D4" t="s">
        <v>42</v>
      </c>
      <c r="E4" t="s">
        <v>39</v>
      </c>
      <c r="F4" t="s">
        <v>41</v>
      </c>
      <c r="I4" s="4">
        <v>0.81727272727272715</v>
      </c>
      <c r="N4" s="7">
        <v>0.17525773195876287</v>
      </c>
      <c r="R4" s="7">
        <v>0.17010309278350516</v>
      </c>
      <c r="V4" s="4">
        <v>0</v>
      </c>
      <c r="W4" s="10">
        <f t="shared" ref="W4" si="7">V4*0.1</f>
        <v>0</v>
      </c>
      <c r="X4" s="7">
        <f t="shared" ref="X4" si="8">N4</f>
        <v>0.17525773195876287</v>
      </c>
      <c r="Y4" s="4">
        <f>X4*0.2</f>
        <v>3.5051546391752578E-2</v>
      </c>
      <c r="AA4">
        <v>0</v>
      </c>
      <c r="AB4" s="4">
        <v>0</v>
      </c>
      <c r="AE4" s="4">
        <f t="shared" ref="AE4" si="9">AB4+Y4+W4</f>
        <v>3.5051546391752578E-2</v>
      </c>
      <c r="AG4">
        <v>0</v>
      </c>
      <c r="AH4">
        <v>0</v>
      </c>
      <c r="AI4">
        <v>0</v>
      </c>
      <c r="AJ4" s="4">
        <f t="shared" ref="AJ4" si="10">AE4*AG4*AH4*AI4</f>
        <v>0</v>
      </c>
      <c r="AL4">
        <v>194</v>
      </c>
      <c r="AM4">
        <v>7.1</v>
      </c>
      <c r="AN4">
        <f t="shared" ref="AN4" si="11">AL4*AM4</f>
        <v>1377.3999999999999</v>
      </c>
      <c r="AR4" s="7">
        <v>0.20618556701030927</v>
      </c>
    </row>
  </sheetData>
  <autoFilter ref="A1:AR4" xr:uid="{2380372D-DE21-46C7-9F37-D042232803B7}"/>
  <sortState xmlns:xlrd2="http://schemas.microsoft.com/office/spreadsheetml/2017/richdata2" ref="A1:AR4">
    <sortCondition descending="1" ref="AJ1:AJ4"/>
    <sortCondition descending="1" ref="AE1:AE4"/>
  </sortState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Urban Red</vt:lpstr>
      <vt:lpstr>Urban Amber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2025-08-22T15:11:03Z</dcterms:created>
  <dcterms:modified xsi:type="dcterms:W3CDTF">2025-08-22T15:13:25Z</dcterms:modified>
</cp:coreProperties>
</file>